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GE\dpe\DOC_DIFUSION\ESTADISTICA MENSUAL\DOCUMENTOS 2019\09 Setiembre\Indicadores del SE al mes de Agosto\"/>
    </mc:Choice>
  </mc:AlternateContent>
  <bookViews>
    <workbookView xWindow="0" yWindow="0" windowWidth="8490" windowHeight="6165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Resumen!$B$1:$O$86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H28" i="2" l="1"/>
  <c r="F58" i="6" l="1"/>
  <c r="H33" i="2" l="1"/>
  <c r="H32" i="2"/>
  <c r="H31" i="2"/>
  <c r="U61" i="1" l="1"/>
  <c r="U60" i="1"/>
  <c r="T61" i="1"/>
  <c r="I63" i="1"/>
  <c r="H63" i="1" l="1"/>
  <c r="E63" i="1"/>
  <c r="E45" i="1"/>
  <c r="J63" i="1" l="1"/>
  <c r="G59" i="6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E28" i="2" l="1"/>
  <c r="S41" i="1"/>
  <c r="E32" i="2"/>
  <c r="E31" i="2" s="1"/>
  <c r="S42" i="1"/>
  <c r="E33" i="2"/>
  <c r="G42" i="1"/>
  <c r="F59" i="1"/>
  <c r="U59" i="1" s="1"/>
  <c r="S40" i="1"/>
  <c r="F60" i="1"/>
  <c r="U58" i="1" s="1"/>
  <c r="S39" i="1"/>
  <c r="E33" i="10" l="1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G55" i="2"/>
  <c r="G35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G57" i="2"/>
  <c r="G58" i="2" s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G80" i="2" l="1"/>
  <c r="I32" i="1"/>
  <c r="H30" i="2" s="1"/>
  <c r="I79" i="2"/>
  <c r="H80" i="2"/>
  <c r="H48" i="1"/>
  <c r="H32" i="1"/>
  <c r="J45" i="1"/>
  <c r="J40" i="1"/>
  <c r="J29" i="1"/>
  <c r="J56" i="1"/>
  <c r="H65" i="1"/>
  <c r="J61" i="1"/>
  <c r="J25" i="1"/>
  <c r="I65" i="1"/>
  <c r="I48" i="1"/>
  <c r="D33" i="10"/>
  <c r="I30" i="2" l="1"/>
  <c r="H55" i="2"/>
  <c r="H35" i="2"/>
  <c r="I35" i="2" s="1"/>
  <c r="J32" i="1"/>
  <c r="J48" i="1"/>
  <c r="J65" i="1"/>
  <c r="D55" i="2"/>
  <c r="E56" i="2"/>
  <c r="D56" i="2"/>
  <c r="H57" i="2" l="1"/>
  <c r="I55" i="2"/>
  <c r="N64" i="2"/>
  <c r="M64" i="2"/>
  <c r="M63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9" i="2"/>
  <c r="N28" i="2"/>
  <c r="N27" i="2"/>
  <c r="T60" i="1"/>
  <c r="T58" i="1"/>
  <c r="S14" i="1"/>
  <c r="S13" i="1"/>
  <c r="S12" i="1"/>
  <c r="S11" i="1"/>
  <c r="S15" i="1"/>
  <c r="N34" i="2" l="1"/>
  <c r="M47" i="2" s="1"/>
  <c r="U64" i="1"/>
  <c r="W59" i="1" s="1"/>
  <c r="T64" i="1"/>
  <c r="V59" i="1" s="1"/>
  <c r="D35" i="2"/>
  <c r="F34" i="2"/>
  <c r="F33" i="2"/>
  <c r="F32" i="2"/>
  <c r="F31" i="2"/>
  <c r="F29" i="2"/>
  <c r="F28" i="2"/>
  <c r="M41" i="2" l="1"/>
  <c r="M44" i="2"/>
  <c r="M45" i="2"/>
  <c r="M40" i="2"/>
  <c r="M43" i="2"/>
  <c r="M46" i="2"/>
  <c r="M42" i="2"/>
  <c r="W61" i="1"/>
  <c r="W58" i="1"/>
  <c r="W60" i="1"/>
  <c r="V58" i="1"/>
  <c r="V61" i="1"/>
  <c r="V60" i="1"/>
  <c r="M49" i="2" l="1"/>
  <c r="G64" i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R25" i="1" l="1"/>
  <c r="S25" i="1"/>
  <c r="O77" i="2"/>
  <c r="E80" i="2"/>
  <c r="F79" i="2"/>
  <c r="N77" i="2"/>
  <c r="D80" i="2"/>
  <c r="E48" i="1"/>
  <c r="G45" i="1"/>
  <c r="G40" i="1"/>
  <c r="E32" i="1"/>
  <c r="F48" i="1"/>
  <c r="F16" i="1"/>
  <c r="D17" i="1" s="1"/>
  <c r="G25" i="1"/>
  <c r="G29" i="1"/>
  <c r="F32" i="1"/>
  <c r="E30" i="2" s="1"/>
  <c r="N11" i="2" l="1"/>
  <c r="N16" i="2" s="1"/>
  <c r="E55" i="2"/>
  <c r="N63" i="2" s="1"/>
  <c r="O29" i="2"/>
  <c r="E35" i="2"/>
  <c r="F35" i="2" s="1"/>
  <c r="F30" i="2"/>
  <c r="G48" i="1"/>
  <c r="G15" i="1"/>
  <c r="G13" i="1"/>
  <c r="G32" i="1"/>
  <c r="G12" i="1"/>
  <c r="G14" i="1"/>
  <c r="E17" i="1"/>
  <c r="O34" i="2" l="1"/>
  <c r="N42" i="2"/>
  <c r="E14" i="6"/>
  <c r="D14" i="6"/>
  <c r="N47" i="2" l="1"/>
  <c r="N41" i="2"/>
  <c r="N44" i="2"/>
  <c r="N43" i="2"/>
  <c r="N46" i="2"/>
  <c r="N40" i="2"/>
  <c r="N45" i="2"/>
  <c r="F14" i="6"/>
  <c r="N49" i="2" l="1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<sst xmlns="http://schemas.openxmlformats.org/spreadsheetml/2006/main" count="304" uniqueCount="132">
  <si>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</si>
  <si>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</si>
  <si>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</si>
  <si>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</si>
  <si>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</si>
  <si>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</si>
  <si>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</si>
  <si>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</si>
  <si>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</si>
  <si>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</si>
  <si>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</si>
  <si>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</si>
  <si>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</si>
  <si>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</si>
  <si>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</si>
  <si>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</si>
  <si>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</si>
  <si>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</si>
  <si>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</si>
  <si>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</si>
  <si>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</si>
  <si>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</si>
  <si>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</si>
  <si>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</si>
  <si>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</si>
  <si>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</si>
  <si>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</si>
  <si>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</si>
  <si>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</si>
  <si>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</si>
  <si>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</si>
  <si>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</si>
  <si>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</si>
  <si>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</si>
  <si>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</si>
  <si>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</si>
  <si>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</si>
  <si>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</si>
  <si>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</si>
  <si>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</si>
  <si>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</si>
  <si>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</si>
  <si>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</si>
  <si>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</si>
  <si>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</si>
  <si>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</si>
  <si>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</si>
  <si>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</si>
  <si>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</si>
  <si>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</si>
  <si>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</si>
  <si>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</si>
  <si>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</si>
  <si>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</si>
  <si>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</si>
  <si>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</si>
  <si>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</si>
  <si>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</si>
  <si>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</si>
  <si>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</si>
  <si>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</si>
  <si>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</si>
  <si>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</si>
  <si>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</si>
  <si>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</si>
  <si>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</si>
  <si>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</si>
  <si>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</si>
  <si>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</si>
  <si>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</si>
  <si>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</si>
  <si>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</si>
  <si>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</si>
  <si>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</si>
  <si>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</si>
  <si>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</si>
  <si>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</si>
  <si>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</si>
  <si>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</si>
  <si>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</si>
  <si>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</si>
  <si>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</si>
  <si>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</si>
  <si>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</si>
  <si>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</si>
  <si>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</si>
  <si>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</si>
  <si>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</si>
  <si>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</si>
  <si>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</si>
  <si>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</si>
  <si>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</si>
  <si>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</si>
  <si>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</si>
  <si>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</si>
  <si>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</si>
  <si>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</si>
  <si>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</si>
  <si>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</si>
  <si>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</si>
  <si>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</si>
  <si>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</si>
  <si>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</si>
  <si>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</si>
  <si>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</si>
  <si>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2.3 Producción de energía eléctrica (GWh) en las Centrales de Reserva Fria en el Mercado Eléctrico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</si>
  <si>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</si>
  <si>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</si>
  <si>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</si>
  <si>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</si>
  <si>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-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</si>
  <si>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</si>
  <si>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</si>
  <si>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</si>
  <si>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</si>
  <si>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</si>
  <si>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</si>
  <si>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</si>
  <si>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</si>
  <si>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</si>
  <si>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</si>
  <si>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Cuadro N° 2 : Producción de energía eléctrica nacional según sistema y mercado 2019 vs 2018</t>
  </si>
  <si>
    <t>Cuadro N° 3 : Producción de energía eléctrica nacional según  mercado 2019 vs 2018</t>
  </si>
  <si>
    <t>Cuadro N° 4 : Producción de energía eléctrica nacional según destino y recurso 2019 vs 2018</t>
  </si>
  <si>
    <t>1. RESUMEN NACIONAL AL MES DE AGOSTO 2019</t>
  </si>
  <si>
    <t>Agosto</t>
  </si>
  <si>
    <t>Acumulado Enero a Agosto</t>
  </si>
  <si>
    <t>Biomasa</t>
  </si>
  <si>
    <t>Agosto 2019</t>
  </si>
  <si>
    <t>3.2 Producción de energía eléctrica (GWh) por origen y zona al mes de agosto 2019</t>
  </si>
  <si>
    <t>Cuadro N° 8: Producción de energía eléctrica nacional por zona del país, al mes de agosto</t>
  </si>
  <si>
    <t>Grafico N° 11: Generación de energía eléctrica por Región, al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</si>
</sst>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/>
    <xf numFmtId="0" fontId="2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2" xfId="33743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91" fillId="69" borderId="0" xfId="0" applyFont="1" applyFill="1" applyBorder="1" applyAlignment="1">
      <alignment horizontal="center"/>
    </xf>
    <xf numFmtId="0" fontId="91" fillId="69" borderId="59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94" fillId="70" borderId="67" xfId="0" applyNumberFormat="1" applyFont="1" applyFill="1" applyBorder="1" applyAlignment="1">
      <alignment horizontal="center" vertical="center"/>
    </xf>
    <xf numFmtId="3" fontId="94" fillId="70" borderId="71" xfId="0" applyNumberFormat="1" applyFont="1" applyFill="1" applyBorder="1" applyAlignment="1">
      <alignment horizontal="center" vertical="center"/>
    </xf>
    <xf numFmtId="178" fontId="97" fillId="70" borderId="31" xfId="33743" applyNumberFormat="1" applyFont="1" applyFill="1" applyBorder="1" applyAlignment="1">
      <alignment horizontal="center" vertical="center"/>
    </xf>
    <xf numFmtId="178" fontId="97" fillId="70" borderId="68" xfId="33743" applyNumberFormat="1" applyFont="1" applyFill="1" applyBorder="1" applyAlignment="1">
      <alignment horizontal="center" vertical="center"/>
    </xf>
    <xf numFmtId="178" fontId="97" fillId="70" borderId="72" xfId="33743" applyNumberFormat="1" applyFont="1" applyFill="1" applyBorder="1" applyAlignment="1">
      <alignment horizontal="center" vertical="center"/>
    </xf>
    <xf numFmtId="10" fontId="94" fillId="70" borderId="69" xfId="33743" applyNumberFormat="1" applyFont="1" applyFill="1" applyBorder="1" applyAlignment="1">
      <alignment horizontal="center" vertic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0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39" xfId="0" applyNumberFormat="1" applyFont="1" applyFill="1" applyBorder="1"/>
    <xf numFmtId="0" fontId="94" fillId="70" borderId="14" xfId="0" applyFont="1" applyFill="1" applyBorder="1" applyAlignment="1">
      <alignment horizontal="center"/>
    </xf>
    <xf numFmtId="0" fontId="94" fillId="70" borderId="36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5" xfId="33743" applyNumberFormat="1" applyFont="1" applyFill="1" applyBorder="1"/>
    <xf numFmtId="0" fontId="98" fillId="0" borderId="16" xfId="0" applyFont="1" applyBorder="1"/>
    <xf numFmtId="0" fontId="98" fillId="0" borderId="73" xfId="0" applyFont="1" applyBorder="1"/>
    <xf numFmtId="0" fontId="98" fillId="0" borderId="73" xfId="0" applyNumberFormat="1" applyFont="1" applyBorder="1" applyAlignment="1">
      <alignment vertical="center"/>
    </xf>
    <xf numFmtId="0" fontId="98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0" fillId="69" borderId="14" xfId="0" applyFill="1" applyBorder="1"/>
    <xf numFmtId="0" fontId="2" fillId="69" borderId="15" xfId="0" applyFont="1" applyFill="1" applyBorder="1" applyAlignment="1"/>
    <xf numFmtId="0" fontId="91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9" fontId="102" fillId="68" borderId="44" xfId="33743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3" fillId="68" borderId="31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1" fillId="68" borderId="30" xfId="0" applyFont="1" applyFill="1" applyBorder="1" applyAlignment="1">
      <alignment horizontal="center"/>
    </xf>
    <xf numFmtId="0" fontId="91" fillId="68" borderId="35" xfId="0" applyFont="1" applyFill="1" applyBorder="1" applyAlignment="1">
      <alignment horizontal="center"/>
    </xf>
    <xf numFmtId="0" fontId="103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5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5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5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9" fontId="95" fillId="68" borderId="34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1" borderId="16" xfId="0" applyFont="1" applyFill="1" applyBorder="1" applyAlignment="1">
      <alignment horizontal="right" vertical="center"/>
    </xf>
    <xf numFmtId="0" fontId="2" fillId="71" borderId="25" xfId="0" applyFont="1" applyFill="1" applyBorder="1" applyAlignment="1">
      <alignment horizontal="center" wrapText="1"/>
    </xf>
    <xf numFmtId="0" fontId="2" fillId="71" borderId="40" xfId="0" applyFont="1" applyFill="1" applyBorder="1" applyAlignment="1">
      <alignment horizontal="center" wrapText="1"/>
    </xf>
    <xf numFmtId="0" fontId="2" fillId="71" borderId="28" xfId="0" applyFont="1" applyFill="1" applyBorder="1" applyAlignment="1">
      <alignment horizontal="center" vertical="center"/>
    </xf>
    <xf numFmtId="9" fontId="95" fillId="71" borderId="43" xfId="33743" applyFont="1" applyFill="1" applyBorder="1" applyAlignment="1">
      <alignment horizontal="center" vertical="center"/>
    </xf>
    <xf numFmtId="0" fontId="2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5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5" fillId="71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8" xfId="33743" applyNumberFormat="1" applyFont="1" applyFill="1" applyBorder="1"/>
    <xf numFmtId="3" fontId="92" fillId="68" borderId="60" xfId="0" applyNumberFormat="1" applyFont="1" applyFill="1" applyBorder="1"/>
    <xf numFmtId="9" fontId="75" fillId="68" borderId="25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0" xfId="33743" applyNumberFormat="1" applyFont="1" applyFill="1" applyBorder="1"/>
    <xf numFmtId="3" fontId="92" fillId="68" borderId="61" xfId="0" applyNumberFormat="1" applyFont="1" applyFill="1" applyBorder="1"/>
    <xf numFmtId="9" fontId="75" fillId="68" borderId="32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5" xfId="33743" applyNumberFormat="1" applyFont="1" applyFill="1" applyBorder="1"/>
    <xf numFmtId="3" fontId="92" fillId="68" borderId="76" xfId="0" applyNumberFormat="1" applyFont="1" applyFill="1" applyBorder="1"/>
    <xf numFmtId="9" fontId="75" fillId="68" borderId="26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39" xfId="0" applyNumberFormat="1" applyFont="1" applyFill="1" applyBorder="1"/>
    <xf numFmtId="3" fontId="94" fillId="69" borderId="62" xfId="0" applyNumberFormat="1" applyFont="1" applyFill="1" applyBorder="1"/>
    <xf numFmtId="178" fontId="97" fillId="69" borderId="58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8" fillId="0" borderId="79" xfId="0" applyNumberFormat="1" applyFont="1" applyBorder="1"/>
    <xf numFmtId="180" fontId="0" fillId="68" borderId="28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5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39" xfId="33744" applyNumberFormat="1" applyFont="1" applyFill="1" applyBorder="1"/>
    <xf numFmtId="180" fontId="94" fillId="70" borderId="55" xfId="33744" applyNumberFormat="1" applyFont="1" applyFill="1" applyBorder="1"/>
    <xf numFmtId="3" fontId="98" fillId="0" borderId="28" xfId="0" applyNumberFormat="1" applyFont="1" applyBorder="1"/>
    <xf numFmtId="3" fontId="98" fillId="0" borderId="78" xfId="0" applyNumberFormat="1" applyFont="1" applyBorder="1"/>
    <xf numFmtId="9" fontId="75" fillId="0" borderId="16" xfId="33743" applyFont="1" applyBorder="1"/>
    <xf numFmtId="9" fontId="75" fillId="0" borderId="73" xfId="33743" applyFont="1" applyBorder="1"/>
    <xf numFmtId="9" fontId="75" fillId="0" borderId="74" xfId="33743" applyFont="1" applyBorder="1"/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39" xfId="0" applyNumberFormat="1" applyFont="1" applyFill="1" applyBorder="1"/>
    <xf numFmtId="3" fontId="2" fillId="69" borderId="23" xfId="0" applyNumberFormat="1" applyFont="1" applyFill="1" applyBorder="1"/>
    <xf numFmtId="0" fontId="91" fillId="69" borderId="80" xfId="0" applyFont="1" applyFill="1" applyBorder="1" applyAlignment="1">
      <alignment horizontal="center"/>
    </xf>
    <xf numFmtId="1" fontId="99" fillId="0" borderId="0" xfId="0" applyNumberFormat="1" applyFont="1"/>
    <xf numFmtId="0" fontId="91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1" fillId="0" borderId="82" xfId="0" applyFont="1" applyBorder="1" applyAlignment="1">
      <alignment horizontal="center"/>
    </xf>
    <xf numFmtId="0" fontId="91" fillId="69" borderId="82" xfId="0" applyFont="1" applyFill="1" applyBorder="1" applyAlignment="1">
      <alignment horizontal="center"/>
    </xf>
    <xf numFmtId="3" fontId="98" fillId="0" borderId="86" xfId="0" applyNumberFormat="1" applyFont="1" applyBorder="1"/>
    <xf numFmtId="3" fontId="98" fillId="0" borderId="87" xfId="0" applyNumberFormat="1" applyFont="1" applyBorder="1"/>
    <xf numFmtId="3" fontId="98" fillId="0" borderId="88" xfId="0" applyNumberFormat="1" applyFont="1" applyBorder="1"/>
    <xf numFmtId="3" fontId="94" fillId="70" borderId="85" xfId="0" applyNumberFormat="1" applyFont="1" applyFill="1" applyBorder="1"/>
    <xf numFmtId="178" fontId="97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4" fontId="0" fillId="68" borderId="84" xfId="0" applyNumberFormat="1" applyFont="1" applyFill="1" applyBorder="1" applyAlignment="1">
      <alignment vertical="center"/>
    </xf>
    <xf numFmtId="3" fontId="94" fillId="70" borderId="98" xfId="0" applyNumberFormat="1" applyFont="1" applyFill="1" applyBorder="1" applyAlignment="1">
      <alignment horizontal="center" vertical="center"/>
    </xf>
    <xf numFmtId="178" fontId="97" fillId="70" borderId="99" xfId="33743" applyNumberFormat="1" applyFont="1" applyFill="1" applyBorder="1" applyAlignment="1">
      <alignment horizontal="center" vertical="center"/>
    </xf>
    <xf numFmtId="0" fontId="91" fillId="69" borderId="100" xfId="0" applyFont="1" applyFill="1" applyBorder="1" applyAlignment="1">
      <alignment horizontal="center"/>
    </xf>
    <xf numFmtId="3" fontId="2" fillId="69" borderId="85" xfId="0" applyNumberFormat="1" applyFont="1" applyFill="1" applyBorder="1"/>
    <xf numFmtId="3" fontId="0" fillId="0" borderId="0" xfId="0" applyNumberFormat="1"/>
    <xf numFmtId="3" fontId="99" fillId="0" borderId="0" xfId="0" applyNumberFormat="1" applyFont="1" applyBorder="1"/>
    <xf numFmtId="0" fontId="0" fillId="0" borderId="0" xfId="33743" applyNumberFormat="1" applyFont="1" applyBorder="1"/>
    <xf numFmtId="167" fontId="34" fillId="0" borderId="0" xfId="0" applyNumberFormat="1" applyFont="1" applyFill="1" applyBorder="1"/>
    <xf numFmtId="167" fontId="99" fillId="0" borderId="0" xfId="0" applyNumberFormat="1" applyFont="1" applyFill="1" applyBorder="1"/>
    <xf numFmtId="181" fontId="94" fillId="0" borderId="0" xfId="0" applyNumberFormat="1" applyFont="1" applyFill="1" applyBorder="1"/>
    <xf numFmtId="0" fontId="104" fillId="0" borderId="0" xfId="0" applyFont="1" applyFill="1" applyBorder="1" applyAlignment="1"/>
    <xf numFmtId="0" fontId="105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5" fillId="68" borderId="32" xfId="33743" applyNumberFormat="1" applyFont="1" applyFill="1" applyBorder="1" applyAlignment="1">
      <alignment horizontal="center"/>
    </xf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9" fontId="95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78" fontId="95" fillId="68" borderId="0" xfId="33743" applyNumberFormat="1" applyFont="1" applyFill="1" applyBorder="1" applyAlignment="1">
      <alignment horizontal="center" vertical="center"/>
    </xf>
    <xf numFmtId="167" fontId="99" fillId="62" borderId="0" xfId="0" applyNumberFormat="1" applyFont="1" applyFill="1" applyBorder="1"/>
    <xf numFmtId="3" fontId="98" fillId="0" borderId="60" xfId="0" applyNumberFormat="1" applyFont="1" applyBorder="1"/>
    <xf numFmtId="3" fontId="98" fillId="0" borderId="108" xfId="0" applyNumberFormat="1" applyFont="1" applyBorder="1"/>
    <xf numFmtId="3" fontId="98" fillId="0" borderId="109" xfId="0" applyNumberFormat="1" applyFont="1" applyBorder="1"/>
    <xf numFmtId="3" fontId="94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4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4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4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5" fillId="0" borderId="73" xfId="33743" applyNumberFormat="1" applyFont="1" applyBorder="1"/>
    <xf numFmtId="9" fontId="95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2" fillId="70" borderId="51" xfId="0" applyFont="1" applyFill="1" applyBorder="1" applyAlignment="1">
      <alignment horizontal="center" vertical="center"/>
    </xf>
    <xf numFmtId="178" fontId="95" fillId="68" borderId="104" xfId="33743" applyNumberFormat="1" applyFont="1" applyFill="1" applyBorder="1" applyAlignment="1">
      <alignment horizontal="center"/>
    </xf>
    <xf numFmtId="0" fontId="2" fillId="70" borderId="49" xfId="0" applyFont="1" applyFill="1" applyBorder="1" applyAlignment="1">
      <alignment horizontal="center" vertical="center"/>
    </xf>
    <xf numFmtId="0" fontId="2" fillId="70" borderId="57" xfId="0" applyFont="1" applyFill="1" applyBorder="1" applyAlignment="1">
      <alignment horizontal="center" vertical="center"/>
    </xf>
    <xf numFmtId="3" fontId="2" fillId="69" borderId="55" xfId="0" applyNumberFormat="1" applyFont="1" applyFill="1" applyBorder="1" applyAlignment="1">
      <alignment vertical="center"/>
    </xf>
    <xf numFmtId="3" fontId="2" fillId="69" borderId="62" xfId="0" applyNumberFormat="1" applyFont="1" applyFill="1" applyBorder="1" applyAlignment="1">
      <alignment vertical="center"/>
    </xf>
    <xf numFmtId="178" fontId="95" fillId="69" borderId="58" xfId="33743" applyNumberFormat="1" applyFont="1" applyFill="1" applyBorder="1" applyAlignment="1">
      <alignment horizontal="center" vertical="center"/>
    </xf>
    <xf numFmtId="3" fontId="2" fillId="69" borderId="85" xfId="0" applyNumberFormat="1" applyFont="1" applyFill="1" applyBorder="1" applyAlignment="1">
      <alignment vertical="center"/>
    </xf>
    <xf numFmtId="178" fontId="95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4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3" fontId="0" fillId="68" borderId="114" xfId="0" applyNumberFormat="1" applyFill="1" applyBorder="1"/>
    <xf numFmtId="3" fontId="0" fillId="68" borderId="115" xfId="0" applyNumberFormat="1" applyFill="1" applyBorder="1"/>
    <xf numFmtId="9" fontId="95" fillId="68" borderId="116" xfId="33743" applyNumberFormat="1" applyFont="1" applyFill="1" applyBorder="1" applyAlignment="1">
      <alignment horizontal="center"/>
    </xf>
    <xf numFmtId="3" fontId="0" fillId="68" borderId="117" xfId="0" applyNumberFormat="1" applyFill="1" applyBorder="1"/>
    <xf numFmtId="167" fontId="0" fillId="68" borderId="35" xfId="0" applyNumberFormat="1" applyFill="1" applyBorder="1"/>
    <xf numFmtId="178" fontId="75" fillId="0" borderId="73" xfId="33743" applyNumberFormat="1" applyFont="1" applyBorder="1"/>
    <xf numFmtId="167" fontId="98" fillId="0" borderId="108" xfId="0" applyNumberFormat="1" applyFont="1" applyBorder="1"/>
    <xf numFmtId="180" fontId="0" fillId="0" borderId="0" xfId="33743" applyNumberFormat="1" applyFont="1" applyBorder="1"/>
    <xf numFmtId="9" fontId="102" fillId="71" borderId="26" xfId="33743" applyNumberFormat="1" applyFont="1" applyFill="1" applyBorder="1" applyAlignment="1">
      <alignment horizontal="center"/>
    </xf>
    <xf numFmtId="9" fontId="102" fillId="71" borderId="95" xfId="33743" applyNumberFormat="1" applyFont="1" applyFill="1" applyBorder="1" applyAlignment="1">
      <alignment horizontal="center"/>
    </xf>
    <xf numFmtId="0" fontId="2" fillId="71" borderId="21" xfId="0" applyFont="1" applyFill="1" applyBorder="1" applyAlignment="1">
      <alignment horizontal="center"/>
    </xf>
    <xf numFmtId="0" fontId="2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2" fillId="68" borderId="51" xfId="0" applyFont="1" applyFill="1" applyBorder="1" applyAlignment="1">
      <alignment horizontal="center"/>
    </xf>
    <xf numFmtId="0" fontId="103" fillId="0" borderId="31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2" fillId="68" borderId="46" xfId="0" applyFont="1" applyFill="1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102" fillId="68" borderId="81" xfId="0" applyFont="1" applyFill="1" applyBorder="1" applyAlignment="1">
      <alignment horizontal="center"/>
    </xf>
    <xf numFmtId="0" fontId="10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" fillId="70" borderId="51" xfId="0" applyFont="1" applyFill="1" applyBorder="1" applyAlignment="1">
      <alignment horizontal="center" vertical="center"/>
    </xf>
    <xf numFmtId="0" fontId="2" fillId="70" borderId="64" xfId="0" applyFont="1" applyFill="1" applyBorder="1" applyAlignment="1">
      <alignment horizontal="center" vertical="center"/>
    </xf>
    <xf numFmtId="0" fontId="2" fillId="69" borderId="46" xfId="0" applyFont="1" applyFill="1" applyBorder="1" applyAlignment="1">
      <alignment horizontal="center"/>
    </xf>
    <xf numFmtId="0" fontId="2" fillId="69" borderId="47" xfId="0" applyFont="1" applyFill="1" applyBorder="1" applyAlignment="1">
      <alignment horizontal="center"/>
    </xf>
    <xf numFmtId="0" fontId="2" fillId="69" borderId="54" xfId="0" applyFont="1" applyFill="1" applyBorder="1" applyAlignment="1">
      <alignment horizontal="center" vertical="center"/>
    </xf>
    <xf numFmtId="0" fontId="103" fillId="69" borderId="31" xfId="0" applyFont="1" applyFill="1" applyBorder="1" applyAlignment="1">
      <alignment horizontal="center" vertical="center"/>
    </xf>
    <xf numFmtId="0" fontId="103" fillId="69" borderId="26" xfId="0" applyFont="1" applyFill="1" applyBorder="1" applyAlignment="1">
      <alignment horizontal="center" vertical="center"/>
    </xf>
    <xf numFmtId="0" fontId="2" fillId="69" borderId="54" xfId="0" applyFont="1" applyFill="1" applyBorder="1" applyAlignment="1">
      <alignment horizontal="center"/>
    </xf>
    <xf numFmtId="0" fontId="95" fillId="69" borderId="81" xfId="0" applyFont="1" applyFill="1" applyBorder="1" applyAlignment="1">
      <alignment horizontal="center"/>
    </xf>
    <xf numFmtId="0" fontId="95" fillId="69" borderId="54" xfId="0" applyFont="1" applyFill="1" applyBorder="1" applyAlignment="1">
      <alignment horizont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horizontal="center" vertical="center"/>
    </xf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Agosto 2019</a:t>
            </a:r>
          </a:p>
          <a:p>
            <a:pPr>
              <a:defRPr sz="800" b="1"/>
            </a:pPr>
            <a:r>
              <a:rPr lang="es-PE" sz="800" b="1"/>
              <a:t>Total : 4 710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52.999363684753966</c:v>
                </c:pt>
                <c:pt idx="1">
                  <c:v>129.75706281439764</c:v>
                </c:pt>
                <c:pt idx="2">
                  <c:v>1937.4825860710646</c:v>
                </c:pt>
                <c:pt idx="3">
                  <c:v>2399.1578708329689</c:v>
                </c:pt>
                <c:pt idx="4">
                  <c:v>190.82029440999997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1632.1951987997711</c:v>
                </c:pt>
                <c:pt idx="2">
                  <c:v>0</c:v>
                </c:pt>
                <c:pt idx="3">
                  <c:v>2191.9194190328772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65.67580673999997</c:v>
                </c:pt>
                <c:pt idx="1">
                  <c:v>266.72458126727969</c:v>
                </c:pt>
                <c:pt idx="2">
                  <c:v>66.063445387499982</c:v>
                </c:pt>
                <c:pt idx="3">
                  <c:v>150.43551651771753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70.653257667197849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3824.114617832648</c:v>
                </c:pt>
                <c:pt idx="1">
                  <c:v>548.8993499124972</c:v>
                </c:pt>
                <c:pt idx="2">
                  <c:v>266.54995240084639</c:v>
                </c:pt>
                <c:pt idx="3">
                  <c:v>70.653257667197849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9688168"/>
        <c:axId val="439692088"/>
      </c:barChart>
      <c:catAx>
        <c:axId val="43968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39692088"/>
        <c:crosses val="autoZero"/>
        <c:auto val="1"/>
        <c:lblAlgn val="ctr"/>
        <c:lblOffset val="100"/>
        <c:noMultiLvlLbl val="0"/>
      </c:catAx>
      <c:valAx>
        <c:axId val="43969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3968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ICA</c:v>
                </c:pt>
                <c:pt idx="6">
                  <c:v>PIURA</c:v>
                </c:pt>
                <c:pt idx="7">
                  <c:v>HUANUCO</c:v>
                </c:pt>
                <c:pt idx="8">
                  <c:v>ANCASH</c:v>
                </c:pt>
                <c:pt idx="9">
                  <c:v>AREQUIPA</c:v>
                </c:pt>
                <c:pt idx="10">
                  <c:v>CAJAMARCA</c:v>
                </c:pt>
                <c:pt idx="11">
                  <c:v>LORETO</c:v>
                </c:pt>
                <c:pt idx="12">
                  <c:v>MOQUEGUA</c:v>
                </c:pt>
                <c:pt idx="13">
                  <c:v>PUNO</c:v>
                </c:pt>
                <c:pt idx="14">
                  <c:v>PASCO</c:v>
                </c:pt>
                <c:pt idx="15">
                  <c:v>LA LIBERTAD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TUMBES</c:v>
                </c:pt>
                <c:pt idx="22">
                  <c:v>AYACUCHO</c:v>
                </c:pt>
                <c:pt idx="23">
                  <c:v>SAN MARTÍN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2150.5744545556217</c:v>
                </c:pt>
                <c:pt idx="1">
                  <c:v>852.54930918418734</c:v>
                </c:pt>
                <c:pt idx="2">
                  <c:v>315.58455091348378</c:v>
                </c:pt>
                <c:pt idx="3">
                  <c:v>193.11890429034082</c:v>
                </c:pt>
                <c:pt idx="4">
                  <c:v>155.43716686783526</c:v>
                </c:pt>
                <c:pt idx="5">
                  <c:v>148.37184110111548</c:v>
                </c:pt>
                <c:pt idx="6">
                  <c:v>124.82075521204953</c:v>
                </c:pt>
                <c:pt idx="7">
                  <c:v>117.75542944532977</c:v>
                </c:pt>
                <c:pt idx="8">
                  <c:v>103.62477791189018</c:v>
                </c:pt>
                <c:pt idx="9">
                  <c:v>89.494126378450616</c:v>
                </c:pt>
                <c:pt idx="10">
                  <c:v>70.653257667197849</c:v>
                </c:pt>
                <c:pt idx="11">
                  <c:v>70.653257667197849</c:v>
                </c:pt>
                <c:pt idx="12">
                  <c:v>70.653257667197849</c:v>
                </c:pt>
                <c:pt idx="13">
                  <c:v>68.29814907829126</c:v>
                </c:pt>
                <c:pt idx="14">
                  <c:v>63.587931900478061</c:v>
                </c:pt>
                <c:pt idx="15">
                  <c:v>59.348736440446189</c:v>
                </c:pt>
                <c:pt idx="16">
                  <c:v>27.319259631316502</c:v>
                </c:pt>
                <c:pt idx="17">
                  <c:v>12.483291556710597</c:v>
                </c:pt>
                <c:pt idx="18">
                  <c:v>4.9457280367038496</c:v>
                </c:pt>
                <c:pt idx="19">
                  <c:v>4.7102171778131909</c:v>
                </c:pt>
                <c:pt idx="20">
                  <c:v>3.2971520244692329</c:v>
                </c:pt>
                <c:pt idx="21">
                  <c:v>1.600236148854502</c:v>
                </c:pt>
                <c:pt idx="22">
                  <c:v>0.71967306757829286</c:v>
                </c:pt>
                <c:pt idx="23">
                  <c:v>0.47102171778131902</c:v>
                </c:pt>
                <c:pt idx="24">
                  <c:v>0.14469217084866287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39684248"/>
        <c:axId val="439685424"/>
      </c:barChart>
      <c:catAx>
        <c:axId val="43968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39685424"/>
        <c:crosses val="autoZero"/>
        <c:auto val="1"/>
        <c:lblAlgn val="ctr"/>
        <c:lblOffset val="100"/>
        <c:noMultiLvlLbl val="0"/>
      </c:catAx>
      <c:valAx>
        <c:axId val="43968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396842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Resumen!$R$39:$R$42</c:f>
              <c:numCache>
                <c:formatCode>#,##0</c:formatCode>
                <c:ptCount val="4"/>
                <c:pt idx="0">
                  <c:v>2068.2668192499987</c:v>
                </c:pt>
                <c:pt idx="1">
                  <c:v>2247.5524254112743</c:v>
                </c:pt>
                <c:pt idx="2">
                  <c:v>135.08576333333335</c:v>
                </c:pt>
                <c:pt idx="3">
                  <c:v>65.067644999999999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Resumen!$S$39:$S$42</c:f>
              <c:numCache>
                <c:formatCode>#,##0</c:formatCode>
                <c:ptCount val="4"/>
                <c:pt idx="0">
                  <c:v>1990.4819497558185</c:v>
                </c:pt>
                <c:pt idx="1">
                  <c:v>2528.9149336473665</c:v>
                </c:pt>
                <c:pt idx="2">
                  <c:v>124.75684902249999</c:v>
                </c:pt>
                <c:pt idx="3">
                  <c:v>66.063445387499982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610296"/>
        <c:axId val="441504984"/>
      </c:barChart>
      <c:catAx>
        <c:axId val="377610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4984"/>
        <c:crosses val="autoZero"/>
        <c:auto val="1"/>
        <c:lblAlgn val="ctr"/>
        <c:lblOffset val="100"/>
        <c:noMultiLvlLbl val="0"/>
      </c:catAx>
      <c:valAx>
        <c:axId val="4415049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761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Resumen!$R$24:$S$24</c:f>
              <c:numCache>
                <c:formatCode>#,##0</c:formatCode>
                <c:ptCount val="2"/>
                <c:pt idx="0">
                  <c:v>172.7670199575613</c:v>
                </c:pt>
                <c:pt idx="1">
                  <c:v>183.59262939396032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Resumen!$R$23:$S$23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Resumen!$R$25:$S$25</c:f>
              <c:numCache>
                <c:formatCode>#,##0</c:formatCode>
                <c:ptCount val="2"/>
                <c:pt idx="0">
                  <c:v>4343.2056330370451</c:v>
                </c:pt>
                <c:pt idx="1">
                  <c:v>4526.624548419225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511256"/>
        <c:axId val="441507728"/>
        <c:axId val="379236008"/>
      </c:bar3DChart>
      <c:catAx>
        <c:axId val="44151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7728"/>
        <c:crosses val="autoZero"/>
        <c:auto val="1"/>
        <c:lblAlgn val="ctr"/>
        <c:lblOffset val="100"/>
        <c:noMultiLvlLbl val="0"/>
      </c:catAx>
      <c:valAx>
        <c:axId val="44150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11256"/>
        <c:crosses val="autoZero"/>
        <c:crossBetween val="between"/>
      </c:valAx>
      <c:serAx>
        <c:axId val="379236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7728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Resumen!$T$58:$U$58</c:f>
              <c:numCache>
                <c:formatCode>#,##0</c:formatCode>
                <c:ptCount val="2"/>
                <c:pt idx="0">
                  <c:v>1980.7787687499986</c:v>
                </c:pt>
                <c:pt idx="1">
                  <c:v>1886.0821584008186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Resumen!$T$59:$U$59</c:f>
              <c:numCache>
                <c:formatCode>#,##0</c:formatCode>
                <c:ptCount val="2"/>
                <c:pt idx="0">
                  <c:v>2216.8298344112745</c:v>
                </c:pt>
                <c:pt idx="1">
                  <c:v>2482.4401877855485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Resumen!$T$60:$U$60</c:f>
              <c:numCache>
                <c:formatCode>#,##0</c:formatCode>
                <c:ptCount val="2"/>
                <c:pt idx="0">
                  <c:v>87.4880505</c:v>
                </c:pt>
                <c:pt idx="1">
                  <c:v>104.39979135500005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Resumen!$T$57:$U$57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Resumen!$T$61:$U$61</c:f>
              <c:numCache>
                <c:formatCode>#,##0</c:formatCode>
                <c:ptCount val="2"/>
                <c:pt idx="0">
                  <c:v>230.87599933333334</c:v>
                </c:pt>
                <c:pt idx="1">
                  <c:v>237.29504027181761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1506944"/>
        <c:axId val="441509688"/>
        <c:axId val="0"/>
      </c:bar3DChart>
      <c:catAx>
        <c:axId val="4415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9688"/>
        <c:crosses val="autoZero"/>
        <c:auto val="1"/>
        <c:lblAlgn val="ctr"/>
        <c:lblOffset val="100"/>
        <c:noMultiLvlLbl val="0"/>
      </c:catAx>
      <c:valAx>
        <c:axId val="44150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694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1990.4819497558185</c:v>
                </c:pt>
                <c:pt idx="1">
                  <c:v>2263.6449269624663</c:v>
                </c:pt>
                <c:pt idx="2">
                  <c:v>218.41606915165357</c:v>
                </c:pt>
                <c:pt idx="3">
                  <c:v>46.474745861817638</c:v>
                </c:pt>
                <c:pt idx="4">
                  <c:v>124.75684902249999</c:v>
                </c:pt>
                <c:pt idx="5">
                  <c:v>66.063445387499982</c:v>
                </c:pt>
                <c:pt idx="6" formatCode="#,##0.0">
                  <c:v>0.37919167142857141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1508904"/>
        <c:axId val="441509296"/>
      </c:barChart>
      <c:catAx>
        <c:axId val="44150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9296"/>
        <c:crosses val="autoZero"/>
        <c:auto val="1"/>
        <c:lblAlgn val="ctr"/>
        <c:lblOffset val="100"/>
        <c:noMultiLvlLbl val="0"/>
      </c:catAx>
      <c:valAx>
        <c:axId val="44150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4285.0966536612732</c:v>
                </c:pt>
                <c:pt idx="1">
                  <c:v>4472.9221375413672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230.87599933333334</c:v>
                </c:pt>
                <c:pt idx="1">
                  <c:v>237.29504027181764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41510864"/>
        <c:axId val="441503808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573685678462793E-2"/>
                  <c:y val="-3.89854722730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404307776036073E-3"/>
                  <c:y val="1.3047053381683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5.1124312982771529E-2</c:v>
                </c:pt>
                <c:pt idx="1">
                  <c:v>5.0378789621328399E-2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04592"/>
        <c:axId val="441504200"/>
      </c:lineChart>
      <c:catAx>
        <c:axId val="44151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3808"/>
        <c:crosses val="autoZero"/>
        <c:auto val="1"/>
        <c:lblAlgn val="ctr"/>
        <c:lblOffset val="100"/>
        <c:noMultiLvlLbl val="1"/>
      </c:catAx>
      <c:valAx>
        <c:axId val="441503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10864"/>
        <c:crosses val="autoZero"/>
        <c:crossBetween val="between"/>
        <c:majorUnit val="1000"/>
      </c:valAx>
      <c:valAx>
        <c:axId val="44150420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1504592"/>
        <c:crosses val="max"/>
        <c:crossBetween val="between"/>
      </c:valAx>
      <c:catAx>
        <c:axId val="441504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41504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2068.2668192499987</c:v>
                </c:pt>
                <c:pt idx="1">
                  <c:v>2088.3724849999999</c:v>
                </c:pt>
                <c:pt idx="2">
                  <c:v>128.04846941127425</c:v>
                </c:pt>
                <c:pt idx="3" formatCode="#,##0.00">
                  <c:v>0.40888000000000002</c:v>
                </c:pt>
                <c:pt idx="4">
                  <c:v>30.722590999999998</c:v>
                </c:pt>
                <c:pt idx="5">
                  <c:v>135.08576333333335</c:v>
                </c:pt>
                <c:pt idx="6">
                  <c:v>65.067644999999999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1990.4819497558185</c:v>
                </c:pt>
                <c:pt idx="1">
                  <c:v>2263.6449269624663</c:v>
                </c:pt>
                <c:pt idx="2">
                  <c:v>218.41606915165357</c:v>
                </c:pt>
                <c:pt idx="3" formatCode="#,##0.00">
                  <c:v>0.37919167142857141</c:v>
                </c:pt>
                <c:pt idx="4">
                  <c:v>46.474745861817638</c:v>
                </c:pt>
                <c:pt idx="5">
                  <c:v>124.75684902249999</c:v>
                </c:pt>
                <c:pt idx="6">
                  <c:v>66.063445387499982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59.081042282500015</c:v>
                </c:pt>
                <c:pt idx="1">
                  <c:v>91.562169688767653</c:v>
                </c:pt>
                <c:pt idx="2">
                  <c:v>0</c:v>
                </c:pt>
                <c:pt idx="3">
                  <c:v>115.90674042957872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agosto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72B4A0-ACF6-4A02-AB49-7D914ABA0AC5}"/>
            </a:ext>
          </a:extLst>
        </xdr:cNvPr>
        <xdr:cNvGrpSpPr/>
      </xdr:nvGrpSpPr>
      <xdr:grpSpPr>
        <a:xfrm>
          <a:off x="709894" y="1188664"/>
          <a:ext cx="6624357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4762</xdr:colOff>
      <xdr:row>61</xdr:row>
      <xdr:rowOff>23813</xdr:rowOff>
    </xdr:from>
    <xdr:to>
      <xdr:col>8</xdr:col>
      <xdr:colOff>144065</xdr:colOff>
      <xdr:row>70</xdr:row>
      <xdr:rowOff>45244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33D9356-7DA4-46CB-9FFF-22B755365656}"/>
            </a:ext>
          </a:extLst>
        </xdr:cNvPr>
        <xdr:cNvGrpSpPr/>
      </xdr:nvGrpSpPr>
      <xdr:grpSpPr>
        <a:xfrm>
          <a:off x="400050" y="3268436"/>
          <a:ext cx="4341202" cy="5497284"/>
          <a:chOff x="400050" y="3268436"/>
          <a:chExt cx="4341202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CF050816-9D44-4E6B-8468-B7C1BCBFF582}"/>
              </a:ext>
            </a:extLst>
          </xdr:cNvPr>
          <xdr:cNvGrpSpPr/>
        </xdr:nvGrpSpPr>
        <xdr:grpSpPr>
          <a:xfrm>
            <a:off x="400050" y="3268436"/>
            <a:ext cx="4341202" cy="5497284"/>
            <a:chOff x="395288" y="3289867"/>
            <a:chExt cx="4500745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395288" y="4326731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595438" y="5476875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964840" y="6731610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814513" y="373618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3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B1" zoomScale="120" zoomScaleNormal="120" zoomScaleSheetLayoutView="12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0.4257812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124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83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120</v>
      </c>
    </row>
    <row r="8" spans="2:19" s="1" customFormat="1">
      <c r="B8" s="8"/>
      <c r="C8" s="136"/>
      <c r="D8" s="136"/>
      <c r="E8" s="136"/>
      <c r="F8" s="136"/>
      <c r="G8" s="136"/>
      <c r="H8" s="9"/>
      <c r="I8" s="9"/>
      <c r="J8" s="9"/>
      <c r="K8" s="9"/>
    </row>
    <row r="9" spans="2:19" s="1" customFormat="1" ht="25.5">
      <c r="B9" s="8"/>
      <c r="C9" s="190" t="s">
        <v>63</v>
      </c>
      <c r="D9" s="191" t="s">
        <v>70</v>
      </c>
      <c r="E9" s="192" t="s">
        <v>71</v>
      </c>
      <c r="F9" s="193" t="s">
        <v>72</v>
      </c>
      <c r="G9" s="194" t="s">
        <v>73</v>
      </c>
      <c r="H9" s="9"/>
      <c r="I9" s="9"/>
      <c r="J9" s="9"/>
      <c r="K9" s="9"/>
    </row>
    <row r="10" spans="2:19" s="1" customFormat="1" ht="13.5" thickBot="1">
      <c r="B10" s="8"/>
      <c r="C10" s="195" t="s">
        <v>64</v>
      </c>
      <c r="D10" s="196"/>
      <c r="E10" s="197"/>
      <c r="F10" s="198"/>
      <c r="G10" s="199"/>
      <c r="H10" s="9"/>
      <c r="I10" s="9"/>
      <c r="J10" s="9"/>
      <c r="K10" s="9"/>
    </row>
    <row r="11" spans="2:19" s="1" customFormat="1" ht="13.5" thickTop="1">
      <c r="B11" s="8"/>
      <c r="C11" s="137"/>
      <c r="D11" s="138"/>
      <c r="E11" s="139"/>
      <c r="F11" s="140"/>
      <c r="G11" s="141"/>
      <c r="H11" s="9"/>
      <c r="I11" s="9"/>
      <c r="J11" s="9"/>
      <c r="K11" s="9"/>
      <c r="Q11" s="359" t="s">
        <v>65</v>
      </c>
      <c r="R11" s="153" t="s">
        <v>41</v>
      </c>
      <c r="S11" s="154">
        <f>E12</f>
        <v>52.999363684753966</v>
      </c>
    </row>
    <row r="12" spans="2:19" s="1" customFormat="1">
      <c r="B12" s="8"/>
      <c r="C12" s="142" t="s">
        <v>67</v>
      </c>
      <c r="D12" s="143">
        <v>1937.4825860710646</v>
      </c>
      <c r="E12" s="144">
        <v>52.999363684753966</v>
      </c>
      <c r="F12" s="145">
        <f>SUM(D12:E12)</f>
        <v>1990.4819497558185</v>
      </c>
      <c r="G12" s="146">
        <f>(F12/F$16)</f>
        <v>0.42258814713081672</v>
      </c>
      <c r="H12" s="9"/>
      <c r="I12" s="9"/>
      <c r="J12" s="9"/>
      <c r="K12" s="9"/>
      <c r="Q12" s="359"/>
      <c r="R12" s="153" t="s">
        <v>74</v>
      </c>
      <c r="S12" s="154">
        <f>E13</f>
        <v>129.75706281439764</v>
      </c>
    </row>
    <row r="13" spans="2:19" s="1" customFormat="1">
      <c r="B13" s="8"/>
      <c r="C13" s="142" t="s">
        <v>66</v>
      </c>
      <c r="D13" s="143">
        <v>2399.1578708329689</v>
      </c>
      <c r="E13" s="144">
        <v>129.75706281439764</v>
      </c>
      <c r="F13" s="145">
        <f>SUM(D13:E13)</f>
        <v>2528.9149336473665</v>
      </c>
      <c r="G13" s="146">
        <f>(F13/F$16)</f>
        <v>0.53689985794274286</v>
      </c>
      <c r="H13" s="9"/>
      <c r="I13" s="9"/>
      <c r="J13" s="9"/>
      <c r="K13" s="9"/>
      <c r="Q13" s="359" t="s">
        <v>90</v>
      </c>
      <c r="R13" s="153" t="s">
        <v>41</v>
      </c>
      <c r="S13" s="154">
        <f>D12</f>
        <v>1937.4825860710646</v>
      </c>
    </row>
    <row r="14" spans="2:19" s="1" customFormat="1">
      <c r="B14" s="8"/>
      <c r="C14" s="142" t="s">
        <v>68</v>
      </c>
      <c r="D14" s="143">
        <v>124.75684902249999</v>
      </c>
      <c r="E14" s="147"/>
      <c r="F14" s="145">
        <f>SUM(D14:E14)</f>
        <v>124.75684902249999</v>
      </c>
      <c r="G14" s="146">
        <f>(F14/F$16)</f>
        <v>2.6486432432489434E-2</v>
      </c>
      <c r="H14" s="9"/>
      <c r="I14" s="9"/>
      <c r="J14" s="9"/>
      <c r="K14" s="9"/>
      <c r="Q14" s="359"/>
      <c r="R14" s="153" t="s">
        <v>74</v>
      </c>
      <c r="S14" s="154">
        <f>D13</f>
        <v>2399.1578708329689</v>
      </c>
    </row>
    <row r="15" spans="2:19" s="1" customFormat="1" ht="13.5" thickBot="1">
      <c r="B15" s="8"/>
      <c r="C15" s="148" t="s">
        <v>5</v>
      </c>
      <c r="D15" s="149">
        <v>66.063445387499982</v>
      </c>
      <c r="E15" s="150"/>
      <c r="F15" s="151">
        <f>SUM(D15:E15)</f>
        <v>66.063445387499982</v>
      </c>
      <c r="G15" s="152">
        <f>(F15/F$16)</f>
        <v>1.4025562493950925E-2</v>
      </c>
      <c r="H15" s="9"/>
      <c r="I15" s="9"/>
      <c r="J15" s="9"/>
      <c r="K15" s="9"/>
      <c r="Q15" s="359"/>
      <c r="R15" s="153" t="s">
        <v>89</v>
      </c>
      <c r="S15" s="154">
        <f>SUM(D14:D15)</f>
        <v>190.82029440999997</v>
      </c>
    </row>
    <row r="16" spans="2:19" s="1" customFormat="1" ht="13.5" thickTop="1">
      <c r="B16" s="8"/>
      <c r="C16" s="262" t="s">
        <v>72</v>
      </c>
      <c r="D16" s="263">
        <f>SUM(D12:D15)</f>
        <v>4527.4607513140336</v>
      </c>
      <c r="E16" s="264">
        <f>SUM(E12:E15)</f>
        <v>182.75642649915162</v>
      </c>
      <c r="F16" s="265">
        <f>SUM(F12:F15)</f>
        <v>4710.2171778131851</v>
      </c>
      <c r="G16" s="266"/>
      <c r="H16" s="9"/>
      <c r="I16" s="9"/>
      <c r="J16" s="9"/>
      <c r="K16" s="9"/>
    </row>
    <row r="17" spans="2:19" s="1" customFormat="1">
      <c r="B17" s="8"/>
      <c r="C17" s="267" t="s">
        <v>116</v>
      </c>
      <c r="D17" s="349">
        <f>D16/F16</f>
        <v>0.96120000000000005</v>
      </c>
      <c r="E17" s="350">
        <f>E16/F16</f>
        <v>3.8800000000000008E-2</v>
      </c>
      <c r="F17" s="268"/>
      <c r="G17" s="269"/>
      <c r="H17" s="9"/>
      <c r="I17" s="9"/>
      <c r="J17" s="9"/>
      <c r="K17" s="9"/>
    </row>
    <row r="18" spans="2:19" s="1" customFormat="1">
      <c r="B18" s="8"/>
      <c r="C18" s="137"/>
      <c r="D18" s="137"/>
      <c r="E18" s="137"/>
      <c r="F18" s="137"/>
      <c r="G18" s="137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121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7"/>
      <c r="D22" s="137"/>
      <c r="E22" s="137"/>
      <c r="F22" s="137"/>
      <c r="G22" s="137"/>
      <c r="H22" s="9"/>
      <c r="I22" s="9"/>
      <c r="J22" s="9"/>
      <c r="K22" s="9"/>
    </row>
    <row r="23" spans="2:19" s="1" customFormat="1" ht="12.75" customHeight="1">
      <c r="B23" s="8"/>
      <c r="C23" s="355" t="s">
        <v>119</v>
      </c>
      <c r="D23" s="356"/>
      <c r="E23" s="360" t="s">
        <v>125</v>
      </c>
      <c r="F23" s="361"/>
      <c r="G23" s="158" t="s">
        <v>75</v>
      </c>
      <c r="H23" s="362" t="s">
        <v>126</v>
      </c>
      <c r="I23" s="363"/>
      <c r="J23" s="158" t="s">
        <v>75</v>
      </c>
      <c r="K23" s="9"/>
      <c r="Q23" s="153"/>
      <c r="R23" s="153">
        <v>2018</v>
      </c>
      <c r="S23" s="153">
        <v>2019</v>
      </c>
    </row>
    <row r="24" spans="2:19" s="1" customFormat="1" ht="12.75" customHeight="1">
      <c r="B24" s="8"/>
      <c r="C24" s="159"/>
      <c r="D24" s="160"/>
      <c r="E24" s="161">
        <v>2018</v>
      </c>
      <c r="F24" s="162">
        <v>2019</v>
      </c>
      <c r="G24" s="163"/>
      <c r="H24" s="250">
        <v>2018</v>
      </c>
      <c r="I24" s="162">
        <v>2019</v>
      </c>
      <c r="J24" s="163"/>
      <c r="K24" s="9"/>
      <c r="Q24" s="153" t="s">
        <v>77</v>
      </c>
      <c r="R24" s="154">
        <f>E29</f>
        <v>172.7670199575613</v>
      </c>
      <c r="S24" s="154">
        <f>F29</f>
        <v>183.59262939396032</v>
      </c>
    </row>
    <row r="25" spans="2:19" s="1" customFormat="1">
      <c r="B25" s="8"/>
      <c r="C25" s="351" t="s">
        <v>0</v>
      </c>
      <c r="D25" s="352"/>
      <c r="E25" s="200">
        <f>SUM(E26:E28)</f>
        <v>4343.2056330370451</v>
      </c>
      <c r="F25" s="201">
        <f>SUM(F26:F28)</f>
        <v>4526.624548419225</v>
      </c>
      <c r="G25" s="202">
        <f>((F25/E25)-1)</f>
        <v>4.2231229851744656E-2</v>
      </c>
      <c r="H25" s="251">
        <f>SUM(H26:H28)</f>
        <v>34614.438010852064</v>
      </c>
      <c r="I25" s="201">
        <f>SUM(I26:I28)</f>
        <v>36221.805040610736</v>
      </c>
      <c r="J25" s="202">
        <f>((I25/H25)-1)</f>
        <v>4.6436317390296633E-2</v>
      </c>
      <c r="K25" s="9"/>
      <c r="Q25" s="153" t="s">
        <v>0</v>
      </c>
      <c r="R25" s="154">
        <f>E25</f>
        <v>4343.2056330370451</v>
      </c>
      <c r="S25" s="154">
        <f>F25</f>
        <v>4526.624548419225</v>
      </c>
    </row>
    <row r="26" spans="2:19" s="1" customFormat="1">
      <c r="B26" s="8"/>
      <c r="C26" s="285" t="s">
        <v>63</v>
      </c>
      <c r="D26" s="294" t="s">
        <v>108</v>
      </c>
      <c r="E26" s="165">
        <v>4222.7551795833324</v>
      </c>
      <c r="F26" s="166">
        <v>4401.5973424275035</v>
      </c>
      <c r="G26" s="167">
        <f t="shared" ref="G26:G32" si="0">((F26/E26)-1)</f>
        <v>4.2352008401732144E-2</v>
      </c>
      <c r="H26" s="252">
        <v>33549.123445050005</v>
      </c>
      <c r="I26" s="166">
        <v>35147.701410422509</v>
      </c>
      <c r="J26" s="167">
        <f t="shared" ref="J26:J32" si="1">((I26/H26)-1)</f>
        <v>4.7648874284027309E-2</v>
      </c>
      <c r="K26" s="9"/>
    </row>
    <row r="27" spans="2:19" s="1" customFormat="1">
      <c r="B27" s="8"/>
      <c r="C27" s="286" t="s">
        <v>113</v>
      </c>
      <c r="D27" s="295" t="s">
        <v>78</v>
      </c>
      <c r="E27" s="288">
        <v>76.293138000000013</v>
      </c>
      <c r="F27" s="289">
        <v>84.06787697136599</v>
      </c>
      <c r="G27" s="301">
        <f t="shared" si="0"/>
        <v>0.10190613697611939</v>
      </c>
      <c r="H27" s="290">
        <v>698.05226499999992</v>
      </c>
      <c r="I27" s="289">
        <v>705.8758753941645</v>
      </c>
      <c r="J27" s="329">
        <f t="shared" si="1"/>
        <v>1.1207771661860599E-2</v>
      </c>
      <c r="K27" s="9"/>
    </row>
    <row r="28" spans="2:19" s="1" customFormat="1">
      <c r="B28" s="8"/>
      <c r="C28" s="287" t="s">
        <v>65</v>
      </c>
      <c r="D28" s="296" t="s">
        <v>78</v>
      </c>
      <c r="E28" s="165">
        <v>44.157315453713032</v>
      </c>
      <c r="F28" s="166">
        <v>40.959329020355739</v>
      </c>
      <c r="G28" s="297">
        <f t="shared" si="0"/>
        <v>-7.2422573711699356E-2</v>
      </c>
      <c r="H28" s="252">
        <v>367.26230080206062</v>
      </c>
      <c r="I28" s="166">
        <v>368.22775479405874</v>
      </c>
      <c r="J28" s="167">
        <f t="shared" si="1"/>
        <v>2.6287859927078827E-3</v>
      </c>
      <c r="K28" s="9"/>
    </row>
    <row r="29" spans="2:19" s="1" customFormat="1">
      <c r="B29" s="8"/>
      <c r="C29" s="351" t="s">
        <v>77</v>
      </c>
      <c r="D29" s="352"/>
      <c r="E29" s="200">
        <f>SUM(E30:E31)</f>
        <v>172.7670199575613</v>
      </c>
      <c r="F29" s="201">
        <f>SUM(F30:F31)</f>
        <v>183.59262939396032</v>
      </c>
      <c r="G29" s="202">
        <f t="shared" si="0"/>
        <v>6.2660161870351283E-2</v>
      </c>
      <c r="H29" s="251">
        <f>SUM(H30:H31)</f>
        <v>1630.7013231582373</v>
      </c>
      <c r="I29" s="201">
        <f>SUM(I30:I31)</f>
        <v>1624.4177818671983</v>
      </c>
      <c r="J29" s="202">
        <f t="shared" si="1"/>
        <v>-3.8532753986300072E-3</v>
      </c>
      <c r="K29" s="9"/>
      <c r="Q29" s="153"/>
      <c r="R29" s="153"/>
      <c r="S29" s="153"/>
    </row>
    <row r="30" spans="2:19" s="1" customFormat="1">
      <c r="B30" s="8"/>
      <c r="C30" s="291" t="s">
        <v>69</v>
      </c>
      <c r="D30" s="160"/>
      <c r="E30" s="165">
        <v>42.106416000000003</v>
      </c>
      <c r="F30" s="166">
        <v>41.795531915164453</v>
      </c>
      <c r="G30" s="167">
        <f t="shared" si="0"/>
        <v>-7.3832948602310378E-3</v>
      </c>
      <c r="H30" s="252">
        <v>344.62125800000001</v>
      </c>
      <c r="I30" s="166">
        <v>350.48427793876448</v>
      </c>
      <c r="J30" s="297">
        <f t="shared" si="1"/>
        <v>1.7012937544219842E-2</v>
      </c>
      <c r="K30" s="9"/>
    </row>
    <row r="31" spans="2:19" s="1" customFormat="1" ht="13.5" thickBot="1">
      <c r="B31" s="8"/>
      <c r="C31" s="292" t="s">
        <v>65</v>
      </c>
      <c r="D31" s="293"/>
      <c r="E31" s="169">
        <v>130.66060395756131</v>
      </c>
      <c r="F31" s="170">
        <v>141.79709747879588</v>
      </c>
      <c r="G31" s="171">
        <f t="shared" si="0"/>
        <v>8.5232221372952832E-2</v>
      </c>
      <c r="H31" s="253">
        <v>1286.0800651582372</v>
      </c>
      <c r="I31" s="170">
        <v>1273.9335039284338</v>
      </c>
      <c r="J31" s="171">
        <f t="shared" si="1"/>
        <v>-9.4446384473807488E-3</v>
      </c>
      <c r="K31" s="9"/>
    </row>
    <row r="32" spans="2:19" s="1" customFormat="1" ht="14.25" thickTop="1" thickBot="1">
      <c r="B32" s="8"/>
      <c r="C32" s="353" t="s">
        <v>115</v>
      </c>
      <c r="D32" s="354"/>
      <c r="E32" s="203">
        <f>SUM(E25,E29)</f>
        <v>4515.9726529946065</v>
      </c>
      <c r="F32" s="204">
        <f>SUM(F25,F29)</f>
        <v>4710.2171778131851</v>
      </c>
      <c r="G32" s="205">
        <f t="shared" si="0"/>
        <v>4.3012777034814986E-2</v>
      </c>
      <c r="H32" s="254">
        <f>SUM(H25,H29)</f>
        <v>36245.139334010302</v>
      </c>
      <c r="I32" s="204">
        <f>SUM(I25,I29)</f>
        <v>37846.222822477932</v>
      </c>
      <c r="J32" s="205">
        <f t="shared" si="1"/>
        <v>4.4173743511182195E-2</v>
      </c>
      <c r="K32" s="9"/>
    </row>
    <row r="33" spans="2:19" s="1" customFormat="1">
      <c r="B33" s="8"/>
      <c r="C33" s="338" t="s">
        <v>109</v>
      </c>
      <c r="D33" s="172"/>
      <c r="E33" s="172"/>
      <c r="F33" s="173"/>
      <c r="G33" s="136"/>
      <c r="H33" s="172"/>
      <c r="I33" s="172"/>
      <c r="J33" s="136"/>
      <c r="K33" s="9"/>
    </row>
    <row r="34" spans="2:19" s="1" customFormat="1">
      <c r="B34" s="8"/>
      <c r="C34" s="92"/>
      <c r="D34" s="93"/>
      <c r="E34" s="93"/>
      <c r="F34" s="94"/>
      <c r="G34" s="9"/>
      <c r="H34" s="9"/>
      <c r="I34" s="9"/>
      <c r="J34" s="9"/>
      <c r="K34" s="9"/>
    </row>
    <row r="35" spans="2:19" s="1" customFormat="1">
      <c r="B35" s="8"/>
      <c r="C35" s="10" t="s">
        <v>122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56"/>
      <c r="D38" s="157"/>
      <c r="E38" s="360" t="s">
        <v>125</v>
      </c>
      <c r="F38" s="361"/>
      <c r="G38" s="357" t="s">
        <v>75</v>
      </c>
      <c r="H38" s="362" t="s">
        <v>126</v>
      </c>
      <c r="I38" s="363"/>
      <c r="J38" s="357" t="s">
        <v>75</v>
      </c>
      <c r="K38" s="9"/>
      <c r="Q38" s="153"/>
      <c r="R38" s="153">
        <v>2018</v>
      </c>
      <c r="S38" s="153">
        <v>2019</v>
      </c>
    </row>
    <row r="39" spans="2:19" s="1" customFormat="1" ht="12.75" customHeight="1">
      <c r="B39" s="8"/>
      <c r="C39" s="159" t="s">
        <v>76</v>
      </c>
      <c r="D39" s="160"/>
      <c r="E39" s="96">
        <v>2018</v>
      </c>
      <c r="F39" s="97">
        <v>2019</v>
      </c>
      <c r="G39" s="358"/>
      <c r="H39" s="255">
        <v>2018</v>
      </c>
      <c r="I39" s="97">
        <v>2019</v>
      </c>
      <c r="J39" s="358"/>
      <c r="K39" s="9"/>
      <c r="Q39" s="153" t="s">
        <v>67</v>
      </c>
      <c r="R39" s="154">
        <f>SUM(E41,E46)</f>
        <v>2068.2668192499987</v>
      </c>
      <c r="S39" s="154">
        <f>SUM(F41,F46)</f>
        <v>1990.4819497558185</v>
      </c>
    </row>
    <row r="40" spans="2:19" s="1" customFormat="1">
      <c r="B40" s="8"/>
      <c r="C40" s="351" t="s">
        <v>69</v>
      </c>
      <c r="D40" s="352"/>
      <c r="E40" s="200">
        <f>SUM(E41:E44)</f>
        <v>4341.154733583332</v>
      </c>
      <c r="F40" s="201">
        <f>SUM(F41:F44)</f>
        <v>4527.4607513140336</v>
      </c>
      <c r="G40" s="202">
        <f>((F40/E40)-1)</f>
        <v>4.2916235233319666E-2</v>
      </c>
      <c r="H40" s="251">
        <f>SUM(H41:H44)</f>
        <v>34591.796968050003</v>
      </c>
      <c r="I40" s="201">
        <f>SUM(I41:I44)</f>
        <v>36204.061563755437</v>
      </c>
      <c r="J40" s="202">
        <f>((I40/H40)-1)</f>
        <v>4.6608292630607506E-2</v>
      </c>
      <c r="K40" s="9"/>
      <c r="Q40" s="153" t="s">
        <v>66</v>
      </c>
      <c r="R40" s="154">
        <f>SUM(E42,E47)</f>
        <v>2247.5524254112743</v>
      </c>
      <c r="S40" s="154">
        <f>SUM(F42,F47)</f>
        <v>2528.9149336473665</v>
      </c>
    </row>
    <row r="41" spans="2:19" s="1" customFormat="1">
      <c r="B41" s="8"/>
      <c r="C41" s="164" t="s">
        <v>67</v>
      </c>
      <c r="D41" s="137"/>
      <c r="E41" s="165">
        <v>2016.2663312499988</v>
      </c>
      <c r="F41" s="166">
        <f>D12</f>
        <v>1937.4825860710646</v>
      </c>
      <c r="G41" s="297">
        <f t="shared" ref="G41:G48" si="2">((F41/E41)-1)</f>
        <v>-3.907407665240914E-2</v>
      </c>
      <c r="H41" s="252">
        <v>20748.11091775</v>
      </c>
      <c r="I41" s="166">
        <v>20978.850859582439</v>
      </c>
      <c r="J41" s="297">
        <f t="shared" ref="J41:J48" si="3">((I41/H41)-1)</f>
        <v>1.1121009654668779E-2</v>
      </c>
      <c r="K41" s="9"/>
      <c r="Q41" s="153" t="s">
        <v>68</v>
      </c>
      <c r="R41" s="154">
        <f>E43</f>
        <v>135.08576333333335</v>
      </c>
      <c r="S41" s="154">
        <f>F43</f>
        <v>124.75684902249999</v>
      </c>
    </row>
    <row r="42" spans="2:19" s="1" customFormat="1">
      <c r="B42" s="8"/>
      <c r="C42" s="164" t="s">
        <v>66</v>
      </c>
      <c r="D42" s="137"/>
      <c r="E42" s="165">
        <v>2124.7349939999999</v>
      </c>
      <c r="F42" s="166">
        <f>D13</f>
        <v>2399.1578708329689</v>
      </c>
      <c r="G42" s="297">
        <f t="shared" si="2"/>
        <v>0.12915628424622683</v>
      </c>
      <c r="H42" s="252">
        <v>12469.609976950002</v>
      </c>
      <c r="I42" s="166">
        <v>13682.721222860499</v>
      </c>
      <c r="J42" s="297">
        <f t="shared" si="3"/>
        <v>9.7285420165740932E-2</v>
      </c>
      <c r="K42" s="9"/>
      <c r="Q42" s="153" t="s">
        <v>5</v>
      </c>
      <c r="R42" s="154">
        <f>E44</f>
        <v>65.067644999999999</v>
      </c>
      <c r="S42" s="154">
        <f>F44</f>
        <v>66.063445387499982</v>
      </c>
    </row>
    <row r="43" spans="2:19" s="1" customFormat="1">
      <c r="B43" s="8"/>
      <c r="C43" s="164" t="s">
        <v>68</v>
      </c>
      <c r="D43" s="137"/>
      <c r="E43" s="165">
        <v>135.08576333333335</v>
      </c>
      <c r="F43" s="166">
        <f>D14</f>
        <v>124.75684902249999</v>
      </c>
      <c r="G43" s="297">
        <f t="shared" si="2"/>
        <v>-7.6461901357777085E-2</v>
      </c>
      <c r="H43" s="252">
        <v>928.73784135000005</v>
      </c>
      <c r="I43" s="166">
        <v>1077.7242402100001</v>
      </c>
      <c r="J43" s="297">
        <f t="shared" si="3"/>
        <v>0.16041814194136372</v>
      </c>
      <c r="K43" s="9"/>
    </row>
    <row r="44" spans="2:19" s="1" customFormat="1">
      <c r="B44" s="8"/>
      <c r="C44" s="164" t="s">
        <v>5</v>
      </c>
      <c r="D44" s="137"/>
      <c r="E44" s="165">
        <v>65.067644999999999</v>
      </c>
      <c r="F44" s="166">
        <f>D15</f>
        <v>66.063445387499982</v>
      </c>
      <c r="G44" s="95">
        <f t="shared" si="2"/>
        <v>1.5304079124117465E-2</v>
      </c>
      <c r="H44" s="252">
        <v>445.33823200000006</v>
      </c>
      <c r="I44" s="166">
        <v>464.76524110249994</v>
      </c>
      <c r="J44" s="167">
        <f t="shared" si="3"/>
        <v>4.3623043580277798E-2</v>
      </c>
      <c r="K44" s="9"/>
      <c r="Q44" s="153"/>
      <c r="R44" s="153"/>
      <c r="S44" s="153"/>
    </row>
    <row r="45" spans="2:19" s="1" customFormat="1">
      <c r="B45" s="8"/>
      <c r="C45" s="351" t="s">
        <v>65</v>
      </c>
      <c r="D45" s="352"/>
      <c r="E45" s="200">
        <f>SUM(E46:E47)</f>
        <v>174.81791941127426</v>
      </c>
      <c r="F45" s="201">
        <f>SUM(F46:F47)</f>
        <v>182.75642649915162</v>
      </c>
      <c r="G45" s="202">
        <f t="shared" si="2"/>
        <v>4.5410145107615207E-2</v>
      </c>
      <c r="H45" s="251">
        <f>SUM(H46:H47)</f>
        <v>1653.3423659602979</v>
      </c>
      <c r="I45" s="201">
        <f>SUM(I46:I47)</f>
        <v>1642.1612587224927</v>
      </c>
      <c r="J45" s="202">
        <f t="shared" si="3"/>
        <v>-6.7627295277774557E-3</v>
      </c>
      <c r="K45" s="9"/>
    </row>
    <row r="46" spans="2:19" s="1" customFormat="1">
      <c r="B46" s="8"/>
      <c r="C46" s="164" t="s">
        <v>67</v>
      </c>
      <c r="D46" s="137"/>
      <c r="E46" s="165">
        <v>52.000487999999983</v>
      </c>
      <c r="F46" s="166">
        <f>E12</f>
        <v>52.999363684753966</v>
      </c>
      <c r="G46" s="167">
        <f t="shared" si="2"/>
        <v>1.9208967514958486E-2</v>
      </c>
      <c r="H46" s="252">
        <v>518.93225722790794</v>
      </c>
      <c r="I46" s="166">
        <v>500.26126481945971</v>
      </c>
      <c r="J46" s="167">
        <f t="shared" si="3"/>
        <v>-3.5979633465429761E-2</v>
      </c>
      <c r="K46" s="9"/>
    </row>
    <row r="47" spans="2:19" s="1" customFormat="1" ht="13.5" thickBot="1">
      <c r="B47" s="8"/>
      <c r="C47" s="168" t="s">
        <v>66</v>
      </c>
      <c r="D47" s="137"/>
      <c r="E47" s="169">
        <v>122.81743141127428</v>
      </c>
      <c r="F47" s="170">
        <f>E13</f>
        <v>129.75706281439764</v>
      </c>
      <c r="G47" s="326">
        <f t="shared" si="2"/>
        <v>5.650363570855732E-2</v>
      </c>
      <c r="H47" s="253">
        <v>1134.41010873239</v>
      </c>
      <c r="I47" s="170">
        <v>1141.899993903033</v>
      </c>
      <c r="J47" s="171">
        <f t="shared" si="3"/>
        <v>6.6024492491629783E-3</v>
      </c>
      <c r="K47" s="9"/>
    </row>
    <row r="48" spans="2:19" s="1" customFormat="1" ht="14.25" thickTop="1" thickBot="1">
      <c r="B48" s="8"/>
      <c r="C48" s="353" t="s">
        <v>115</v>
      </c>
      <c r="D48" s="354"/>
      <c r="E48" s="203">
        <f>SUM(E40,E45)</f>
        <v>4515.9726529946065</v>
      </c>
      <c r="F48" s="204">
        <f>SUM(F40,F45)</f>
        <v>4710.2171778131851</v>
      </c>
      <c r="G48" s="205">
        <f t="shared" si="2"/>
        <v>4.3012777034814986E-2</v>
      </c>
      <c r="H48" s="254">
        <f>SUM(H40,H45)</f>
        <v>36245.139334010302</v>
      </c>
      <c r="I48" s="204">
        <f>SUM(I40,I45)</f>
        <v>37846.222822477932</v>
      </c>
      <c r="J48" s="205">
        <f t="shared" si="3"/>
        <v>4.4173743511182195E-2</v>
      </c>
      <c r="K48" s="9"/>
    </row>
    <row r="49" spans="2:23" s="1" customFormat="1">
      <c r="B49" s="8"/>
      <c r="C49" s="283"/>
      <c r="D49" s="92"/>
      <c r="E49" s="93"/>
      <c r="F49" s="93"/>
      <c r="G49" s="98"/>
      <c r="H49" s="9"/>
      <c r="I49" s="9"/>
      <c r="J49" s="9"/>
      <c r="K49" s="9"/>
    </row>
    <row r="50" spans="2:23" s="1" customFormat="1">
      <c r="B50" s="8"/>
      <c r="C50" s="92"/>
      <c r="D50" s="92"/>
      <c r="E50" s="93"/>
      <c r="F50" s="93"/>
      <c r="G50" s="98"/>
      <c r="H50" s="9"/>
      <c r="I50" s="9"/>
      <c r="J50" s="9"/>
      <c r="K50" s="9"/>
    </row>
    <row r="51" spans="2:23" s="1" customFormat="1">
      <c r="B51" s="8"/>
      <c r="C51" s="10" t="s">
        <v>123</v>
      </c>
      <c r="H51" s="9"/>
      <c r="I51" s="9"/>
      <c r="J51" s="9"/>
      <c r="K51" s="9"/>
    </row>
    <row r="52" spans="2:23" s="1" customFormat="1">
      <c r="B52" s="8"/>
      <c r="C52" s="10" t="s">
        <v>110</v>
      </c>
      <c r="H52" s="9"/>
      <c r="I52" s="9"/>
      <c r="J52" s="9"/>
      <c r="K52" s="9"/>
      <c r="M52" s="277"/>
    </row>
    <row r="53" spans="2:23" s="1" customFormat="1" ht="13.5" thickBot="1">
      <c r="B53" s="8"/>
      <c r="C53" s="10"/>
      <c r="H53" s="9"/>
      <c r="I53" s="9"/>
      <c r="J53" s="9"/>
      <c r="K53" s="9"/>
      <c r="L53" s="277"/>
      <c r="M53" s="277"/>
    </row>
    <row r="54" spans="2:23" s="1" customFormat="1" ht="12.75" customHeight="1">
      <c r="B54" s="8"/>
      <c r="C54" s="156"/>
      <c r="D54" s="157"/>
      <c r="E54" s="360" t="s">
        <v>125</v>
      </c>
      <c r="F54" s="361"/>
      <c r="G54" s="357" t="s">
        <v>75</v>
      </c>
      <c r="H54" s="362" t="s">
        <v>126</v>
      </c>
      <c r="I54" s="363"/>
      <c r="J54" s="357" t="s">
        <v>75</v>
      </c>
      <c r="K54" s="9"/>
      <c r="L54" s="277"/>
      <c r="M54" s="277"/>
    </row>
    <row r="55" spans="2:23" s="1" customFormat="1" ht="12.75" customHeight="1">
      <c r="B55" s="8"/>
      <c r="C55" s="159" t="s">
        <v>76</v>
      </c>
      <c r="D55" s="160"/>
      <c r="E55" s="96">
        <v>2018</v>
      </c>
      <c r="F55" s="97">
        <v>2019</v>
      </c>
      <c r="G55" s="358"/>
      <c r="H55" s="255">
        <v>2018</v>
      </c>
      <c r="I55" s="97">
        <v>2019</v>
      </c>
      <c r="J55" s="358"/>
      <c r="K55" s="9"/>
      <c r="L55" s="277"/>
      <c r="M55" s="277"/>
    </row>
    <row r="56" spans="2:23" s="1" customFormat="1">
      <c r="B56" s="8"/>
      <c r="C56" s="351" t="s">
        <v>69</v>
      </c>
      <c r="D56" s="352"/>
      <c r="E56" s="200">
        <f>SUM(E57:E60)</f>
        <v>4341.154733583332</v>
      </c>
      <c r="F56" s="201">
        <f>SUM(F57:F60)</f>
        <v>4527.4607513140327</v>
      </c>
      <c r="G56" s="202">
        <f>((F56/E56)-1)</f>
        <v>4.2916235233319444E-2</v>
      </c>
      <c r="H56" s="251">
        <f>SUM(H57:H60)</f>
        <v>34591.796968050003</v>
      </c>
      <c r="I56" s="201">
        <f>SUM(I57:I60)</f>
        <v>36204.061563755437</v>
      </c>
      <c r="J56" s="202">
        <f>((I56/H56)-1)</f>
        <v>4.6608292630607506E-2</v>
      </c>
      <c r="K56" s="9"/>
    </row>
    <row r="57" spans="2:23" s="1" customFormat="1" ht="25.5">
      <c r="B57" s="8"/>
      <c r="C57" s="365" t="s">
        <v>79</v>
      </c>
      <c r="D57" s="302" t="s">
        <v>80</v>
      </c>
      <c r="E57" s="298">
        <v>215.42091333333335</v>
      </c>
      <c r="F57" s="299">
        <v>220.42662210594591</v>
      </c>
      <c r="G57" s="178">
        <f t="shared" ref="G57:G65" si="4">((F57/E57)-1)</f>
        <v>2.3236874708013833E-2</v>
      </c>
      <c r="H57" s="300">
        <v>1501.3876813000002</v>
      </c>
      <c r="I57" s="299">
        <v>1749.767405660946</v>
      </c>
      <c r="J57" s="178">
        <f t="shared" ref="J57:J65" si="5">((I57/H57)-1)</f>
        <v>0.16543343698270019</v>
      </c>
      <c r="K57" s="9"/>
      <c r="L57" s="277"/>
      <c r="Q57" s="153"/>
      <c r="R57" s="153"/>
      <c r="T57" s="153">
        <v>2018</v>
      </c>
      <c r="U57" s="153">
        <v>2019</v>
      </c>
      <c r="V57" s="153"/>
      <c r="W57" s="153"/>
    </row>
    <row r="58" spans="2:23" s="1" customFormat="1" ht="13.5">
      <c r="B58" s="8"/>
      <c r="C58" s="366"/>
      <c r="D58" s="303" t="s">
        <v>117</v>
      </c>
      <c r="E58" s="288">
        <v>87.4880505</v>
      </c>
      <c r="F58" s="289">
        <v>104.39979135500005</v>
      </c>
      <c r="G58" s="301">
        <f t="shared" si="4"/>
        <v>0.19330343696480057</v>
      </c>
      <c r="H58" s="290">
        <v>829.48943700000007</v>
      </c>
      <c r="I58" s="289">
        <v>1183.9673348225003</v>
      </c>
      <c r="J58" s="301">
        <f t="shared" si="5"/>
        <v>0.42734467976413804</v>
      </c>
      <c r="K58" s="9"/>
      <c r="L58" s="277"/>
      <c r="M58" s="277"/>
      <c r="Q58" s="359" t="s">
        <v>81</v>
      </c>
      <c r="R58" s="153" t="s">
        <v>67</v>
      </c>
      <c r="T58" s="154">
        <f>SUM(E60,E64)</f>
        <v>1980.7787687499986</v>
      </c>
      <c r="U58" s="154">
        <f>SUM(F60,F64)</f>
        <v>1886.0821584008186</v>
      </c>
      <c r="V58" s="155">
        <f t="shared" ref="V58:W61" si="6">T58/T$64</f>
        <v>0.43861620097201331</v>
      </c>
      <c r="W58" s="155">
        <f t="shared" si="6"/>
        <v>0.40042360833911078</v>
      </c>
    </row>
    <row r="59" spans="2:23" s="1" customFormat="1">
      <c r="B59" s="8"/>
      <c r="C59" s="364" t="s">
        <v>81</v>
      </c>
      <c r="D59" s="304" t="s">
        <v>82</v>
      </c>
      <c r="E59" s="165">
        <f>SUM(E42:E44)-E57</f>
        <v>2109.4674890000001</v>
      </c>
      <c r="F59" s="166">
        <f>SUM(F42:F44)-F57</f>
        <v>2369.5515431370227</v>
      </c>
      <c r="G59" s="297">
        <f t="shared" si="4"/>
        <v>0.12329370113227789</v>
      </c>
      <c r="H59" s="252">
        <f>SUM(H42:H44)-H57</f>
        <v>12342.298369</v>
      </c>
      <c r="I59" s="166">
        <f>SUM(I42:I44)-I57</f>
        <v>13475.443298512051</v>
      </c>
      <c r="J59" s="297">
        <f t="shared" si="5"/>
        <v>9.1809879783667947E-2</v>
      </c>
      <c r="K59" s="9"/>
      <c r="Q59" s="359"/>
      <c r="R59" s="153" t="s">
        <v>66</v>
      </c>
      <c r="T59" s="154">
        <f>SUM(E59,E63)</f>
        <v>2216.8298344112745</v>
      </c>
      <c r="U59" s="154">
        <f>SUM(F59,F63)</f>
        <v>2482.4401877855485</v>
      </c>
      <c r="V59" s="155">
        <f t="shared" si="6"/>
        <v>0.49088646117935697</v>
      </c>
      <c r="W59" s="155">
        <f t="shared" si="6"/>
        <v>0.52703306324785482</v>
      </c>
    </row>
    <row r="60" spans="2:23" s="1" customFormat="1">
      <c r="B60" s="8"/>
      <c r="C60" s="364"/>
      <c r="D60" s="305" t="s">
        <v>41</v>
      </c>
      <c r="E60" s="165">
        <f>E41-E58</f>
        <v>1928.7782807499987</v>
      </c>
      <c r="F60" s="166">
        <f>F41-F58</f>
        <v>1833.0827947160647</v>
      </c>
      <c r="G60" s="167">
        <f t="shared" si="4"/>
        <v>-4.9614560153966036E-2</v>
      </c>
      <c r="H60" s="252">
        <f>H41-H58</f>
        <v>19918.62148075</v>
      </c>
      <c r="I60" s="166">
        <f>I41-I58</f>
        <v>19794.883524759938</v>
      </c>
      <c r="J60" s="297">
        <f t="shared" si="5"/>
        <v>-6.2121746783353471E-3</v>
      </c>
      <c r="K60" s="9"/>
      <c r="Q60" s="359" t="s">
        <v>79</v>
      </c>
      <c r="R60" s="153" t="s">
        <v>67</v>
      </c>
      <c r="T60" s="154">
        <f>E58</f>
        <v>87.4880505</v>
      </c>
      <c r="U60" s="154">
        <f>F58</f>
        <v>104.39979135500005</v>
      </c>
      <c r="V60" s="155">
        <f t="shared" si="6"/>
        <v>1.9373024865858169E-2</v>
      </c>
      <c r="W60" s="155">
        <f t="shared" si="6"/>
        <v>2.2164538791705945E-2</v>
      </c>
    </row>
    <row r="61" spans="2:23" s="1" customFormat="1">
      <c r="B61" s="8"/>
      <c r="C61" s="351" t="s">
        <v>65</v>
      </c>
      <c r="D61" s="352"/>
      <c r="E61" s="200">
        <f>SUM(E62:E64)</f>
        <v>174.81791941127426</v>
      </c>
      <c r="F61" s="201">
        <f>SUM(F62:F64)</f>
        <v>182.75642649915162</v>
      </c>
      <c r="G61" s="202">
        <f t="shared" si="4"/>
        <v>4.5410145107615207E-2</v>
      </c>
      <c r="H61" s="251">
        <f>SUM(H62:H64)</f>
        <v>1653.3423659602979</v>
      </c>
      <c r="I61" s="201">
        <f>SUM(I62:I64)</f>
        <v>1642.1612587224927</v>
      </c>
      <c r="J61" s="202">
        <f t="shared" si="5"/>
        <v>-6.7627295277774557E-3</v>
      </c>
      <c r="K61" s="9"/>
      <c r="Q61" s="359"/>
      <c r="R61" s="153" t="s">
        <v>91</v>
      </c>
      <c r="T61" s="154">
        <f>E57+E62</f>
        <v>230.87599933333334</v>
      </c>
      <c r="U61" s="154">
        <f>F57+F62</f>
        <v>237.29504027181761</v>
      </c>
      <c r="V61" s="155">
        <f t="shared" si="6"/>
        <v>5.1124312982771529E-2</v>
      </c>
      <c r="W61" s="155">
        <f t="shared" si="6"/>
        <v>5.0378789621328392E-2</v>
      </c>
    </row>
    <row r="62" spans="2:23" s="1" customFormat="1">
      <c r="B62" s="8"/>
      <c r="C62" s="339" t="s">
        <v>79</v>
      </c>
      <c r="D62" s="340" t="s">
        <v>127</v>
      </c>
      <c r="E62" s="341">
        <v>15.455086</v>
      </c>
      <c r="F62" s="342">
        <v>16.868418165871695</v>
      </c>
      <c r="G62" s="343">
        <f t="shared" si="4"/>
        <v>9.1447706332510537E-2</v>
      </c>
      <c r="H62" s="344">
        <v>117.58382599999999</v>
      </c>
      <c r="I62" s="342">
        <v>141.9584165174717</v>
      </c>
      <c r="J62" s="343">
        <f t="shared" si="5"/>
        <v>0.20729543634233938</v>
      </c>
      <c r="K62" s="9"/>
      <c r="Q62" s="153"/>
      <c r="R62" s="153"/>
      <c r="T62" s="153"/>
      <c r="U62" s="153"/>
      <c r="V62" s="153"/>
      <c r="W62" s="153"/>
    </row>
    <row r="63" spans="2:23" s="1" customFormat="1">
      <c r="B63" s="8"/>
      <c r="C63" s="367" t="s">
        <v>81</v>
      </c>
      <c r="D63" s="304" t="s">
        <v>82</v>
      </c>
      <c r="E63" s="165">
        <f>E47-E62</f>
        <v>107.36234541127429</v>
      </c>
      <c r="F63" s="166">
        <f>F47-F62</f>
        <v>112.88864464852594</v>
      </c>
      <c r="G63" s="297">
        <f t="shared" ref="G63" si="7">((F63/E63)-1)</f>
        <v>5.1473346787292984E-2</v>
      </c>
      <c r="H63" s="252">
        <f>H47-H62</f>
        <v>1016.8262827323899</v>
      </c>
      <c r="I63" s="166">
        <f>I47-I62</f>
        <v>999.94157738556123</v>
      </c>
      <c r="J63" s="297">
        <f t="shared" ref="J63" si="8">((I63/H63)-1)</f>
        <v>-1.6605299876254698E-2</v>
      </c>
      <c r="K63" s="9"/>
      <c r="Q63" s="153"/>
      <c r="R63" s="153"/>
      <c r="T63" s="153"/>
      <c r="U63" s="153"/>
      <c r="V63" s="153"/>
      <c r="W63" s="153"/>
    </row>
    <row r="64" spans="2:23" s="1" customFormat="1" ht="13.5" thickBot="1">
      <c r="B64" s="8"/>
      <c r="C64" s="368"/>
      <c r="D64" s="306" t="s">
        <v>41</v>
      </c>
      <c r="E64" s="169">
        <f>E46</f>
        <v>52.000487999999983</v>
      </c>
      <c r="F64" s="170">
        <f>F46</f>
        <v>52.999363684753966</v>
      </c>
      <c r="G64" s="171">
        <f t="shared" si="4"/>
        <v>1.9208967514958486E-2</v>
      </c>
      <c r="H64" s="253">
        <f>H46</f>
        <v>518.93225722790794</v>
      </c>
      <c r="I64" s="170">
        <f>I46</f>
        <v>500.26126481945971</v>
      </c>
      <c r="J64" s="171">
        <f t="shared" si="5"/>
        <v>-3.5979633465429761E-2</v>
      </c>
      <c r="K64" s="9"/>
      <c r="Q64" s="153"/>
      <c r="R64" s="153"/>
      <c r="T64" s="154">
        <f>SUM(T58:T61)</f>
        <v>4515.9726529946065</v>
      </c>
      <c r="U64" s="154">
        <f>SUM(U58:U61)</f>
        <v>4710.2171778131851</v>
      </c>
      <c r="V64" s="153"/>
      <c r="W64" s="153"/>
    </row>
    <row r="65" spans="2:22" s="1" customFormat="1" ht="14.25" thickTop="1" thickBot="1">
      <c r="B65" s="8"/>
      <c r="C65" s="353" t="s">
        <v>115</v>
      </c>
      <c r="D65" s="354"/>
      <c r="E65" s="203">
        <f>SUM(E56,E61)</f>
        <v>4515.9726529946065</v>
      </c>
      <c r="F65" s="204">
        <f>SUM(F56,F61)</f>
        <v>4710.2171778131842</v>
      </c>
      <c r="G65" s="205">
        <f t="shared" si="4"/>
        <v>4.3012777034814764E-2</v>
      </c>
      <c r="H65" s="254">
        <f>SUM(H56,H61)</f>
        <v>36245.139334010302</v>
      </c>
      <c r="I65" s="204">
        <f>SUM(I56,I61)</f>
        <v>37846.222822477932</v>
      </c>
      <c r="J65" s="205">
        <f t="shared" si="5"/>
        <v>4.4173743511182195E-2</v>
      </c>
      <c r="K65" s="9"/>
      <c r="Q65" s="153"/>
      <c r="R65" s="153"/>
      <c r="S65" s="153"/>
      <c r="T65" s="153"/>
      <c r="U65" s="153"/>
      <c r="V65" s="153"/>
    </row>
    <row r="66" spans="2:22" s="1" customFormat="1">
      <c r="B66" s="8"/>
      <c r="C66" s="283" t="s">
        <v>118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2"/>
      <c r="D83" s="92"/>
      <c r="E83" s="93"/>
      <c r="F83" s="93"/>
      <c r="G83" s="98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34" zoomScaleNormal="100" zoomScaleSheetLayoutView="100" workbookViewId="0">
      <selection activeCell="C26" sqref="C26:I3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6" customWidth="1"/>
    <col min="12" max="12" width="27.5703125" style="56" customWidth="1"/>
    <col min="13" max="13" width="21.85546875" style="57" customWidth="1"/>
    <col min="14" max="21" width="11.42578125" style="57"/>
    <col min="22" max="25" width="11.42578125" style="59"/>
    <col min="26" max="28" width="11.42578125" style="19"/>
  </cols>
  <sheetData>
    <row r="1" spans="2:28">
      <c r="N1" s="58">
        <v>3066.3426032056236</v>
      </c>
      <c r="O1" s="58"/>
      <c r="P1" s="58"/>
      <c r="Q1" s="58"/>
      <c r="R1" s="58"/>
      <c r="S1" s="58"/>
      <c r="T1" s="58"/>
      <c r="U1" s="58"/>
    </row>
    <row r="2" spans="2:28" ht="15">
      <c r="B2" s="21" t="s">
        <v>84</v>
      </c>
      <c r="D2" s="3"/>
      <c r="E2" s="21"/>
      <c r="F2" s="21"/>
      <c r="G2" s="21"/>
      <c r="H2" s="21"/>
      <c r="I2" s="21"/>
      <c r="J2" s="21"/>
      <c r="K2" s="60"/>
      <c r="L2" s="61"/>
      <c r="M2" s="62"/>
      <c r="N2" s="63">
        <v>1230.4754866556138</v>
      </c>
      <c r="O2" s="63"/>
      <c r="P2" s="63"/>
      <c r="Q2" s="63"/>
      <c r="R2" s="58"/>
      <c r="S2" s="58"/>
      <c r="T2" s="58"/>
      <c r="U2" s="58"/>
      <c r="V2" s="56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4"/>
      <c r="L3" s="65"/>
      <c r="M3" s="66"/>
      <c r="N3" s="63">
        <v>117.97097317393826</v>
      </c>
      <c r="O3" s="63"/>
      <c r="P3" s="63"/>
      <c r="Q3" s="63"/>
      <c r="R3" s="58"/>
      <c r="S3" s="58"/>
      <c r="T3" s="58"/>
      <c r="U3" s="58"/>
      <c r="V3" s="56"/>
    </row>
    <row r="4" spans="2:28" ht="15">
      <c r="B4" s="23" t="s">
        <v>88</v>
      </c>
      <c r="D4" s="3"/>
      <c r="E4" s="23"/>
      <c r="F4" s="23"/>
      <c r="G4" s="23"/>
      <c r="H4" s="23"/>
      <c r="I4" s="23"/>
      <c r="J4" s="23"/>
      <c r="K4" s="67"/>
      <c r="L4" s="68"/>
      <c r="M4" s="69"/>
      <c r="N4" s="63">
        <v>0.26741999999999999</v>
      </c>
      <c r="O4" s="63"/>
      <c r="P4" s="63"/>
      <c r="Q4" s="63"/>
      <c r="R4" s="58"/>
      <c r="S4" s="58"/>
      <c r="T4" s="58"/>
      <c r="U4" s="58"/>
      <c r="V4" s="56"/>
    </row>
    <row r="5" spans="2:28">
      <c r="N5" s="58">
        <v>87.475207379999986</v>
      </c>
      <c r="O5" s="58"/>
      <c r="P5" s="58"/>
      <c r="Q5" s="58"/>
      <c r="R5" s="58"/>
      <c r="S5" s="58"/>
      <c r="T5" s="58"/>
      <c r="U5" s="58"/>
    </row>
    <row r="6" spans="2:28">
      <c r="C6" s="10"/>
      <c r="N6" s="58">
        <v>59.658878850000001</v>
      </c>
      <c r="O6" s="58"/>
      <c r="P6" s="58"/>
      <c r="Q6" s="58"/>
      <c r="R6" s="58"/>
      <c r="S6" s="58"/>
      <c r="T6" s="58"/>
      <c r="U6" s="58"/>
    </row>
    <row r="7" spans="2:28">
      <c r="C7" s="10"/>
      <c r="N7" s="58">
        <v>34.086593865910203</v>
      </c>
      <c r="O7" s="58"/>
      <c r="P7" s="58"/>
      <c r="Q7" s="58"/>
      <c r="R7" s="58"/>
      <c r="S7" s="58"/>
      <c r="T7" s="58"/>
      <c r="U7" s="58"/>
    </row>
    <row r="8" spans="2:28" ht="19.5" customHeight="1">
      <c r="B8" s="20"/>
      <c r="C8" s="25"/>
      <c r="D8" s="40"/>
      <c r="E8" s="41"/>
      <c r="M8" s="70" t="s">
        <v>1</v>
      </c>
      <c r="N8" s="71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2"/>
      <c r="D9" s="43"/>
      <c r="E9" s="43"/>
      <c r="M9" s="57" t="s">
        <v>86</v>
      </c>
      <c r="N9" s="72">
        <f>E28</f>
        <v>1990.4819497558185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2"/>
      <c r="D10" s="43"/>
      <c r="E10" s="43"/>
      <c r="M10" s="57" t="s">
        <v>2</v>
      </c>
      <c r="N10" s="72">
        <f t="shared" ref="N10:N15" si="0">E29</f>
        <v>2263.6449269624663</v>
      </c>
      <c r="O10" s="72"/>
      <c r="P10" s="72"/>
      <c r="Q10" s="72"/>
      <c r="R10" s="72"/>
      <c r="S10" s="72"/>
      <c r="T10" s="73"/>
      <c r="U10" s="73"/>
      <c r="V10" s="73"/>
      <c r="W10" s="73"/>
      <c r="X10" s="73"/>
      <c r="Y10" s="73"/>
      <c r="Z10" s="20"/>
      <c r="AA10" s="20"/>
      <c r="AB10" s="20"/>
    </row>
    <row r="11" spans="2:28">
      <c r="B11" s="20"/>
      <c r="C11" s="42"/>
      <c r="D11" s="43"/>
      <c r="E11" s="43"/>
      <c r="M11" s="57" t="s">
        <v>85</v>
      </c>
      <c r="N11" s="72">
        <f t="shared" si="0"/>
        <v>218.41606915165357</v>
      </c>
      <c r="O11" s="72"/>
      <c r="P11" s="72"/>
      <c r="Q11" s="72"/>
      <c r="R11" s="72"/>
      <c r="S11" s="72"/>
      <c r="T11" s="73"/>
      <c r="U11" s="73"/>
      <c r="V11" s="73"/>
      <c r="W11" s="73"/>
      <c r="X11" s="73"/>
      <c r="Y11" s="73"/>
      <c r="Z11" s="20"/>
      <c r="AA11" s="20"/>
      <c r="AB11" s="20"/>
    </row>
    <row r="12" spans="2:28">
      <c r="B12" s="20"/>
      <c r="C12" s="42"/>
      <c r="D12" s="43"/>
      <c r="E12" s="43"/>
      <c r="J12" s="24"/>
      <c r="K12" s="59"/>
      <c r="M12" s="57" t="s">
        <v>6</v>
      </c>
      <c r="N12" s="72">
        <f t="shared" si="0"/>
        <v>46.474745861817638</v>
      </c>
      <c r="O12" s="72"/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20"/>
      <c r="AA12" s="20"/>
      <c r="AB12" s="20"/>
    </row>
    <row r="13" spans="2:28">
      <c r="B13" s="20"/>
      <c r="C13" s="42"/>
      <c r="D13" s="43"/>
      <c r="E13" s="43"/>
      <c r="M13" s="57" t="s">
        <v>14</v>
      </c>
      <c r="N13" s="72">
        <f t="shared" si="0"/>
        <v>124.75684902249999</v>
      </c>
      <c r="O13" s="72"/>
      <c r="P13" s="72"/>
      <c r="Q13" s="72"/>
      <c r="R13" s="72"/>
      <c r="S13" s="72"/>
      <c r="T13" s="73"/>
      <c r="U13" s="73"/>
      <c r="V13" s="73"/>
      <c r="W13" s="73"/>
      <c r="X13" s="73"/>
      <c r="Y13" s="73"/>
      <c r="Z13" s="20"/>
      <c r="AA13" s="20"/>
      <c r="AB13" s="20"/>
    </row>
    <row r="14" spans="2:28">
      <c r="B14" s="20"/>
      <c r="C14" s="42"/>
      <c r="D14" s="43"/>
      <c r="E14" s="43"/>
      <c r="M14" s="57" t="s">
        <v>5</v>
      </c>
      <c r="N14" s="72">
        <f t="shared" si="0"/>
        <v>66.063445387499982</v>
      </c>
      <c r="O14" s="72"/>
      <c r="P14" s="72"/>
      <c r="Q14" s="72"/>
      <c r="R14" s="72"/>
      <c r="S14" s="72"/>
      <c r="T14" s="73"/>
      <c r="U14" s="73"/>
      <c r="V14" s="73"/>
      <c r="W14" s="73"/>
      <c r="X14" s="73"/>
      <c r="Y14" s="73"/>
      <c r="Z14" s="20"/>
      <c r="AA14" s="20"/>
      <c r="AB14" s="20"/>
    </row>
    <row r="15" spans="2:28">
      <c r="B15" s="20"/>
      <c r="C15" s="42"/>
      <c r="D15" s="43"/>
      <c r="E15" s="43"/>
      <c r="M15" s="57" t="s">
        <v>4</v>
      </c>
      <c r="N15" s="308">
        <f t="shared" si="0"/>
        <v>0.37919167142857141</v>
      </c>
      <c r="O15" s="72"/>
      <c r="P15" s="72"/>
      <c r="Q15" s="72"/>
      <c r="R15" s="72"/>
      <c r="S15" s="72"/>
      <c r="T15" s="73"/>
      <c r="U15" s="73"/>
      <c r="V15" s="73"/>
      <c r="W15" s="73"/>
      <c r="X15" s="73"/>
      <c r="Y15" s="73"/>
      <c r="Z15" s="20"/>
      <c r="AA15" s="20"/>
      <c r="AB15" s="20"/>
    </row>
    <row r="16" spans="2:28">
      <c r="C16" s="25"/>
      <c r="D16" s="39"/>
      <c r="E16" s="39"/>
      <c r="M16" s="70" t="s">
        <v>7</v>
      </c>
      <c r="N16" s="74">
        <f>SUBTOTAL(109,N9:N15)</f>
        <v>4710.2171778131851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2:28">
      <c r="C17" s="25"/>
      <c r="D17" s="26"/>
      <c r="E17" s="26"/>
      <c r="F17" s="26"/>
      <c r="G17" s="26"/>
      <c r="H17" s="26"/>
      <c r="I17" s="26"/>
      <c r="N17" s="72"/>
      <c r="O17" s="72"/>
      <c r="P17" s="72"/>
      <c r="Q17" s="72"/>
      <c r="R17" s="72"/>
      <c r="S17" s="72"/>
      <c r="T17" s="73"/>
      <c r="U17" s="73"/>
      <c r="V17" s="73"/>
      <c r="W17" s="73"/>
      <c r="X17" s="84"/>
      <c r="Y17" s="84"/>
    </row>
    <row r="18" spans="2:28">
      <c r="C18" s="25"/>
      <c r="D18" s="26"/>
      <c r="E18" s="26"/>
      <c r="F18" s="26"/>
      <c r="G18" s="26"/>
      <c r="H18" s="26"/>
      <c r="I18" s="26"/>
      <c r="N18" s="85"/>
      <c r="O18" s="85"/>
      <c r="P18" s="72"/>
      <c r="Q18" s="72"/>
      <c r="R18" s="72"/>
      <c r="S18" s="72"/>
      <c r="T18" s="73"/>
      <c r="U18" s="73"/>
      <c r="V18" s="73"/>
      <c r="W18" s="73"/>
      <c r="X18" s="84"/>
      <c r="Y18" s="84"/>
    </row>
    <row r="19" spans="2:28">
      <c r="B19" s="89"/>
      <c r="C19" s="90"/>
      <c r="D19" s="91"/>
      <c r="E19" s="91"/>
      <c r="F19" s="91"/>
      <c r="G19" s="91"/>
      <c r="H19" s="91"/>
      <c r="I19" s="91"/>
      <c r="J19" s="89"/>
      <c r="N19" s="72"/>
      <c r="O19" s="72"/>
      <c r="P19" s="72"/>
      <c r="Q19" s="72"/>
      <c r="R19" s="72"/>
      <c r="S19" s="72"/>
      <c r="T19" s="73"/>
      <c r="U19" s="73"/>
      <c r="V19" s="73"/>
      <c r="W19" s="73"/>
      <c r="X19" s="84"/>
      <c r="Y19" s="84"/>
    </row>
    <row r="20" spans="2:28">
      <c r="B20" s="89"/>
      <c r="C20" s="90"/>
      <c r="D20" s="91"/>
      <c r="E20" s="91"/>
      <c r="F20" s="91"/>
      <c r="G20" s="91"/>
      <c r="H20" s="91"/>
      <c r="I20" s="91"/>
      <c r="J20" s="89"/>
      <c r="N20" s="72"/>
      <c r="O20" s="72"/>
      <c r="P20" s="72"/>
      <c r="Q20" s="72"/>
      <c r="R20" s="72"/>
      <c r="S20" s="72"/>
      <c r="T20" s="73"/>
      <c r="U20" s="73"/>
      <c r="V20" s="73"/>
      <c r="W20" s="73"/>
      <c r="X20" s="84"/>
      <c r="Y20" s="84"/>
    </row>
    <row r="21" spans="2:28">
      <c r="B21" s="89"/>
      <c r="C21" s="90"/>
      <c r="D21" s="91"/>
      <c r="E21" s="91"/>
      <c r="F21" s="91"/>
      <c r="G21" s="91"/>
      <c r="H21" s="91"/>
      <c r="I21" s="91"/>
      <c r="J21" s="89"/>
      <c r="N21" s="72"/>
      <c r="O21" s="72"/>
      <c r="P21" s="72"/>
      <c r="Q21" s="72"/>
      <c r="R21" s="72"/>
      <c r="S21" s="72"/>
      <c r="T21" s="73"/>
      <c r="U21" s="73"/>
      <c r="V21" s="73"/>
      <c r="W21" s="73"/>
      <c r="X21" s="84"/>
      <c r="Y21" s="84"/>
    </row>
    <row r="22" spans="2:28">
      <c r="C22" s="25"/>
      <c r="D22" s="26"/>
      <c r="E22" s="26"/>
      <c r="F22" s="26"/>
      <c r="G22" s="26"/>
      <c r="H22" s="26"/>
      <c r="I22" s="26"/>
      <c r="N22" s="72"/>
      <c r="O22" s="72"/>
      <c r="P22" s="72"/>
      <c r="Q22" s="72"/>
      <c r="R22" s="72"/>
      <c r="S22" s="72"/>
      <c r="T22" s="73"/>
      <c r="U22" s="73"/>
      <c r="V22" s="73"/>
      <c r="W22" s="73"/>
      <c r="X22" s="84"/>
      <c r="Y22" s="84"/>
    </row>
    <row r="23" spans="2:28" s="1" customFormat="1">
      <c r="B23" s="19"/>
      <c r="C23" s="25"/>
      <c r="D23" s="26"/>
      <c r="E23" s="26"/>
      <c r="F23" s="307"/>
      <c r="G23" s="282"/>
      <c r="H23" s="26"/>
      <c r="I23" s="26"/>
      <c r="J23" s="20"/>
      <c r="K23" s="56"/>
      <c r="L23" s="56"/>
      <c r="M23" s="57"/>
      <c r="N23" s="72"/>
      <c r="O23" s="72"/>
      <c r="P23" s="72"/>
      <c r="Q23" s="72"/>
      <c r="R23" s="72"/>
      <c r="S23" s="72"/>
      <c r="T23" s="73"/>
      <c r="U23" s="73"/>
      <c r="V23" s="73"/>
      <c r="W23" s="73"/>
      <c r="X23" s="84"/>
      <c r="Y23" s="84"/>
      <c r="Z23" s="19"/>
      <c r="AA23" s="19"/>
      <c r="AB23" s="19"/>
    </row>
    <row r="24" spans="2:28" s="1" customFormat="1">
      <c r="C24" s="10" t="s">
        <v>87</v>
      </c>
      <c r="D24" s="9"/>
      <c r="E24" s="13"/>
      <c r="F24" s="13"/>
      <c r="G24" s="13"/>
      <c r="H24" s="26"/>
      <c r="I24" s="26"/>
      <c r="J24" s="327"/>
      <c r="K24" s="56"/>
      <c r="L24" s="56"/>
      <c r="M24" s="57"/>
      <c r="N24" s="72"/>
      <c r="O24" s="72"/>
      <c r="P24" s="72"/>
      <c r="Q24" s="72"/>
      <c r="R24" s="72"/>
      <c r="S24" s="72"/>
      <c r="T24" s="73"/>
      <c r="U24" s="73"/>
      <c r="V24" s="73"/>
      <c r="W24" s="73"/>
      <c r="X24" s="84"/>
      <c r="Y24" s="84"/>
      <c r="Z24" s="19"/>
      <c r="AA24" s="19"/>
      <c r="AB24" s="19"/>
    </row>
    <row r="25" spans="2:28" s="1" customFormat="1" ht="13.5" thickBot="1">
      <c r="B25" s="10"/>
      <c r="C25" s="136"/>
      <c r="D25" s="136"/>
      <c r="E25" s="174"/>
      <c r="F25" s="174"/>
      <c r="G25" s="13"/>
      <c r="H25" s="26"/>
      <c r="I25" s="26"/>
      <c r="J25" s="20"/>
      <c r="K25" s="56"/>
      <c r="L25" s="56"/>
      <c r="M25" s="57"/>
      <c r="N25" s="72"/>
      <c r="O25" s="72"/>
      <c r="P25" s="72"/>
      <c r="Q25" s="72"/>
      <c r="R25" s="72"/>
      <c r="S25" s="72"/>
      <c r="T25" s="73"/>
      <c r="U25" s="73"/>
      <c r="V25" s="73"/>
      <c r="W25" s="73"/>
      <c r="X25" s="84"/>
      <c r="Y25" s="84"/>
      <c r="Z25" s="19"/>
      <c r="AA25" s="19"/>
      <c r="AB25" s="19"/>
    </row>
    <row r="26" spans="2:28" s="1" customFormat="1" ht="16.5" customHeight="1">
      <c r="B26" s="19"/>
      <c r="C26" s="328" t="s">
        <v>62</v>
      </c>
      <c r="D26" s="373" t="s">
        <v>125</v>
      </c>
      <c r="E26" s="373"/>
      <c r="F26" s="374" t="s">
        <v>75</v>
      </c>
      <c r="G26" s="377" t="s">
        <v>126</v>
      </c>
      <c r="H26" s="378"/>
      <c r="I26" s="374" t="s">
        <v>75</v>
      </c>
      <c r="J26" s="20"/>
      <c r="K26" s="56"/>
      <c r="L26" s="56"/>
      <c r="M26" s="57"/>
      <c r="N26" s="72">
        <v>2018</v>
      </c>
      <c r="O26" s="72">
        <v>2019</v>
      </c>
      <c r="P26" s="72"/>
      <c r="Q26" s="72"/>
      <c r="R26" s="72"/>
      <c r="S26" s="72"/>
      <c r="T26" s="73"/>
      <c r="U26" s="73"/>
      <c r="V26" s="73"/>
      <c r="W26" s="73"/>
      <c r="X26" s="84"/>
      <c r="Y26" s="84"/>
      <c r="Z26" s="19"/>
      <c r="AA26" s="19"/>
      <c r="AB26" s="19"/>
    </row>
    <row r="27" spans="2:28" s="1" customFormat="1" ht="12" customHeight="1">
      <c r="B27" s="19"/>
      <c r="C27" s="330"/>
      <c r="D27" s="99">
        <v>2018</v>
      </c>
      <c r="E27" s="100">
        <v>2019</v>
      </c>
      <c r="F27" s="375"/>
      <c r="G27" s="256">
        <v>2018</v>
      </c>
      <c r="H27" s="100">
        <v>2019</v>
      </c>
      <c r="I27" s="375"/>
      <c r="J27" s="20"/>
      <c r="K27" s="56"/>
      <c r="L27" s="56"/>
      <c r="M27" s="57" t="s">
        <v>86</v>
      </c>
      <c r="N27" s="72">
        <f t="shared" ref="N27:O29" si="1">D28</f>
        <v>2068.2668192499987</v>
      </c>
      <c r="O27" s="72">
        <f t="shared" si="1"/>
        <v>1990.4819497558185</v>
      </c>
      <c r="P27" s="72"/>
      <c r="Q27" s="72"/>
      <c r="R27" s="72"/>
      <c r="S27" s="72"/>
      <c r="T27" s="73"/>
      <c r="U27" s="73"/>
      <c r="V27" s="73"/>
      <c r="W27" s="73"/>
      <c r="X27" s="84"/>
      <c r="Y27" s="84"/>
      <c r="Z27" s="19"/>
      <c r="AA27" s="19"/>
      <c r="AB27" s="19"/>
    </row>
    <row r="28" spans="2:28" s="1" customFormat="1">
      <c r="C28" s="175" t="s">
        <v>86</v>
      </c>
      <c r="D28" s="176">
        <v>2068.2668192499987</v>
      </c>
      <c r="E28" s="177">
        <f>Resumen!F41+Resumen!F46</f>
        <v>1990.4819497558185</v>
      </c>
      <c r="F28" s="178">
        <f>+E28/D28-1</f>
        <v>-3.7608720872090773E-2</v>
      </c>
      <c r="G28" s="270">
        <v>21267.043174977913</v>
      </c>
      <c r="H28" s="177">
        <f>Resumen!I41+Resumen!I46</f>
        <v>21479.112124401898</v>
      </c>
      <c r="I28" s="178">
        <f>+H28/G28-1</f>
        <v>9.9717176327311918E-3</v>
      </c>
      <c r="J28" s="327"/>
      <c r="K28" s="56"/>
      <c r="L28" s="56"/>
      <c r="M28" s="57" t="s">
        <v>2</v>
      </c>
      <c r="N28" s="72">
        <f t="shared" si="1"/>
        <v>2088.3724849999999</v>
      </c>
      <c r="O28" s="72">
        <f t="shared" si="1"/>
        <v>2263.6449269624663</v>
      </c>
      <c r="P28" s="72"/>
      <c r="Q28" s="72"/>
      <c r="R28" s="72"/>
      <c r="S28" s="72"/>
      <c r="T28" s="73"/>
      <c r="U28" s="73"/>
      <c r="V28" s="73"/>
      <c r="W28" s="73"/>
      <c r="X28" s="84"/>
      <c r="Y28" s="84"/>
      <c r="Z28" s="19"/>
      <c r="AA28" s="19"/>
      <c r="AB28" s="19"/>
    </row>
    <row r="29" spans="2:28" s="1" customFormat="1">
      <c r="C29" s="179" t="s">
        <v>2</v>
      </c>
      <c r="D29" s="180">
        <v>2088.3724849999999</v>
      </c>
      <c r="E29" s="181">
        <v>2263.6449269624663</v>
      </c>
      <c r="F29" s="182">
        <f t="shared" ref="F29:F35" si="2">+E29/D29-1</f>
        <v>8.3927768260395608E-2</v>
      </c>
      <c r="G29" s="271">
        <v>12296.052679</v>
      </c>
      <c r="H29" s="181">
        <v>13314.778113324966</v>
      </c>
      <c r="I29" s="182">
        <f t="shared" ref="I29:I35" si="3">+H29/G29-1</f>
        <v>8.2849794232324081E-2</v>
      </c>
      <c r="J29" s="280"/>
      <c r="K29" s="281"/>
      <c r="L29" s="56"/>
      <c r="M29" s="57" t="s">
        <v>85</v>
      </c>
      <c r="N29" s="72">
        <f t="shared" si="1"/>
        <v>128.04846941127425</v>
      </c>
      <c r="O29" s="72">
        <f t="shared" si="1"/>
        <v>218.41606915165357</v>
      </c>
      <c r="P29" s="72"/>
      <c r="Q29" s="72"/>
      <c r="R29" s="72"/>
      <c r="S29" s="72"/>
      <c r="T29" s="73"/>
      <c r="U29" s="73"/>
      <c r="V29" s="73"/>
      <c r="W29" s="73"/>
      <c r="X29" s="84"/>
      <c r="Y29" s="84"/>
      <c r="Z29" s="19"/>
      <c r="AA29" s="19"/>
      <c r="AB29" s="19"/>
    </row>
    <row r="30" spans="2:28" s="1" customFormat="1">
      <c r="C30" s="179" t="s">
        <v>3</v>
      </c>
      <c r="D30" s="180">
        <v>128.04846941127425</v>
      </c>
      <c r="E30" s="181">
        <f>Resumen!F32-SUM(TipoRecurso!E28:E29,TipoRecurso!E31:E34)</f>
        <v>218.41606915165357</v>
      </c>
      <c r="F30" s="182">
        <f t="shared" si="2"/>
        <v>0.7057296362530574</v>
      </c>
      <c r="G30" s="271">
        <v>1060.53951273239</v>
      </c>
      <c r="H30" s="181">
        <f>Resumen!I32-SUM(TipoRecurso!H28:H29,TipoRecurso!H31:H34)</f>
        <v>1157.5732292012181</v>
      </c>
      <c r="I30" s="182">
        <f t="shared" si="3"/>
        <v>9.1494673516528291E-2</v>
      </c>
      <c r="J30" s="327"/>
      <c r="K30" s="56"/>
      <c r="L30" s="56"/>
      <c r="M30" s="57" t="s">
        <v>4</v>
      </c>
      <c r="N30" s="103">
        <f>D34</f>
        <v>0.40888000000000002</v>
      </c>
      <c r="O30" s="103">
        <f>E34</f>
        <v>0.37919167142857141</v>
      </c>
      <c r="P30" s="72"/>
      <c r="Q30" s="72"/>
      <c r="R30" s="72"/>
      <c r="S30" s="72"/>
      <c r="T30" s="73"/>
      <c r="U30" s="73"/>
      <c r="V30" s="73"/>
      <c r="W30" s="73"/>
      <c r="X30" s="84"/>
      <c r="Y30" s="84"/>
      <c r="Z30" s="19"/>
      <c r="AA30" s="19"/>
      <c r="AB30" s="19"/>
    </row>
    <row r="31" spans="2:28" s="1" customFormat="1">
      <c r="C31" s="179" t="s">
        <v>6</v>
      </c>
      <c r="D31" s="180">
        <v>30.722590999999998</v>
      </c>
      <c r="E31" s="181">
        <f>Resumen!F57+Resumen!F62-SUM(TipoRecurso!E32:E33)</f>
        <v>46.474745861817638</v>
      </c>
      <c r="F31" s="182">
        <f t="shared" si="2"/>
        <v>0.51272221349487235</v>
      </c>
      <c r="G31" s="271">
        <v>244.89543395000004</v>
      </c>
      <c r="H31" s="181">
        <f>Resumen!I57+Resumen!I62-SUM(TipoRecurso!H32:H33)</f>
        <v>349.23634086591778</v>
      </c>
      <c r="I31" s="182">
        <f t="shared" si="3"/>
        <v>0.42606309653458418</v>
      </c>
      <c r="J31" s="20"/>
      <c r="K31" s="56"/>
      <c r="L31" s="56"/>
      <c r="M31" s="57" t="s">
        <v>92</v>
      </c>
      <c r="N31" s="72">
        <f t="shared" ref="N31:O33" si="4">D31</f>
        <v>30.722590999999998</v>
      </c>
      <c r="O31" s="72">
        <f t="shared" si="4"/>
        <v>46.474745861817638</v>
      </c>
      <c r="P31" s="72"/>
      <c r="Q31" s="72"/>
      <c r="R31" s="72"/>
      <c r="S31" s="72"/>
      <c r="T31" s="73"/>
      <c r="U31" s="73"/>
      <c r="V31" s="73"/>
      <c r="W31" s="73"/>
      <c r="X31" s="84"/>
      <c r="Y31" s="84"/>
      <c r="Z31" s="19"/>
      <c r="AA31" s="19"/>
      <c r="AB31" s="19"/>
    </row>
    <row r="32" spans="2:28" s="1" customFormat="1">
      <c r="C32" s="179" t="s">
        <v>14</v>
      </c>
      <c r="D32" s="180">
        <v>135.08576333333335</v>
      </c>
      <c r="E32" s="181">
        <f>Resumen!F43</f>
        <v>124.75684902249999</v>
      </c>
      <c r="F32" s="182">
        <f t="shared" si="2"/>
        <v>-7.6461901357777085E-2</v>
      </c>
      <c r="G32" s="271">
        <v>928.73784135000005</v>
      </c>
      <c r="H32" s="181">
        <f>Resumen!I43</f>
        <v>1077.7242402100001</v>
      </c>
      <c r="I32" s="182">
        <f t="shared" si="3"/>
        <v>0.16041814194136372</v>
      </c>
      <c r="J32" s="20"/>
      <c r="K32" s="56"/>
      <c r="L32" s="56"/>
      <c r="M32" s="57" t="s">
        <v>14</v>
      </c>
      <c r="N32" s="72">
        <f t="shared" si="4"/>
        <v>135.08576333333335</v>
      </c>
      <c r="O32" s="72">
        <f t="shared" si="4"/>
        <v>124.75684902249999</v>
      </c>
      <c r="P32" s="72"/>
      <c r="Q32" s="72"/>
      <c r="R32" s="72"/>
      <c r="S32" s="72"/>
      <c r="T32" s="73"/>
      <c r="U32" s="73"/>
      <c r="V32" s="73"/>
      <c r="W32" s="73"/>
      <c r="X32" s="84"/>
      <c r="Y32" s="84"/>
      <c r="Z32" s="19"/>
      <c r="AA32" s="19"/>
      <c r="AB32" s="19"/>
    </row>
    <row r="33" spans="2:28" s="1" customFormat="1">
      <c r="C33" s="179" t="s">
        <v>5</v>
      </c>
      <c r="D33" s="180">
        <v>65.067644999999999</v>
      </c>
      <c r="E33" s="181">
        <f>Resumen!F44</f>
        <v>66.063445387499982</v>
      </c>
      <c r="F33" s="182">
        <f t="shared" si="2"/>
        <v>1.5304079124117465E-2</v>
      </c>
      <c r="G33" s="271">
        <v>445.33823200000006</v>
      </c>
      <c r="H33" s="181">
        <f>Resumen!I44</f>
        <v>464.76524110249994</v>
      </c>
      <c r="I33" s="182">
        <f t="shared" si="3"/>
        <v>4.3623043580277798E-2</v>
      </c>
      <c r="J33" s="20"/>
      <c r="K33" s="56"/>
      <c r="L33" s="56"/>
      <c r="M33" s="57" t="s">
        <v>5</v>
      </c>
      <c r="N33" s="72">
        <f t="shared" si="4"/>
        <v>65.067644999999999</v>
      </c>
      <c r="O33" s="72">
        <f t="shared" si="4"/>
        <v>66.063445387499982</v>
      </c>
      <c r="P33" s="72"/>
      <c r="Q33" s="72"/>
      <c r="R33" s="72"/>
      <c r="S33" s="72"/>
      <c r="T33" s="73"/>
      <c r="U33" s="73"/>
      <c r="V33" s="73"/>
      <c r="W33" s="73"/>
      <c r="X33" s="84"/>
      <c r="Y33" s="84"/>
      <c r="Z33" s="19"/>
      <c r="AA33" s="19"/>
      <c r="AB33" s="19"/>
    </row>
    <row r="34" spans="2:28" s="1" customFormat="1" ht="13.5" thickBot="1">
      <c r="C34" s="183" t="s">
        <v>4</v>
      </c>
      <c r="D34" s="184">
        <v>0.40888000000000002</v>
      </c>
      <c r="E34" s="185">
        <v>0.37919167142857141</v>
      </c>
      <c r="F34" s="186">
        <f t="shared" si="2"/>
        <v>-7.2608903764988741E-2</v>
      </c>
      <c r="G34" s="272">
        <v>2.5324599999999999</v>
      </c>
      <c r="H34" s="185">
        <v>3.0335333714285713</v>
      </c>
      <c r="I34" s="186">
        <f t="shared" si="3"/>
        <v>0.19786033004610992</v>
      </c>
      <c r="J34" s="20"/>
      <c r="K34" s="56"/>
      <c r="L34" s="56"/>
      <c r="M34" s="101"/>
      <c r="N34" s="102">
        <f>SUM(N27:N33)</f>
        <v>4515.9726529946065</v>
      </c>
      <c r="O34" s="102">
        <f>SUM(O27:O33)</f>
        <v>4710.2171778131851</v>
      </c>
      <c r="P34" s="72"/>
      <c r="Q34" s="72"/>
      <c r="R34" s="72"/>
      <c r="S34" s="72"/>
      <c r="T34" s="73"/>
      <c r="U34" s="73"/>
      <c r="V34" s="73"/>
      <c r="W34" s="73"/>
      <c r="X34" s="84"/>
      <c r="Y34" s="84"/>
      <c r="Z34" s="19"/>
      <c r="AA34" s="19"/>
      <c r="AB34" s="19"/>
    </row>
    <row r="35" spans="2:28" s="1" customFormat="1" ht="15" customHeight="1" thickTop="1" thickBot="1">
      <c r="C35" s="331" t="s">
        <v>115</v>
      </c>
      <c r="D35" s="332">
        <f>SUM(D28:D34)</f>
        <v>4515.9726529946065</v>
      </c>
      <c r="E35" s="333">
        <f>SUM(E28:E34)</f>
        <v>4710.2171778131851</v>
      </c>
      <c r="F35" s="334">
        <f t="shared" si="2"/>
        <v>4.3012777034814986E-2</v>
      </c>
      <c r="G35" s="335">
        <f>SUM(G28:G34)</f>
        <v>36245.139334010295</v>
      </c>
      <c r="H35" s="333">
        <f>SUM(H28:H34)</f>
        <v>37846.222822477932</v>
      </c>
      <c r="I35" s="336">
        <f t="shared" si="3"/>
        <v>4.4173743511182417E-2</v>
      </c>
      <c r="J35" s="20"/>
      <c r="K35" s="56"/>
      <c r="L35" s="56"/>
      <c r="M35" s="57"/>
      <c r="N35" s="72"/>
      <c r="O35" s="72"/>
      <c r="P35" s="72"/>
      <c r="Q35" s="72"/>
      <c r="R35" s="72"/>
      <c r="S35" s="72"/>
      <c r="T35" s="73"/>
      <c r="U35" s="73"/>
      <c r="V35" s="73"/>
      <c r="W35" s="73"/>
      <c r="X35" s="84"/>
      <c r="Y35" s="84"/>
      <c r="Z35" s="19"/>
      <c r="AA35" s="19"/>
      <c r="AB35" s="19"/>
    </row>
    <row r="36" spans="2:28" s="1" customFormat="1">
      <c r="B36" s="16"/>
      <c r="C36" s="187"/>
      <c r="D36" s="187"/>
      <c r="E36" s="188"/>
      <c r="F36" s="189"/>
      <c r="G36" s="17"/>
      <c r="H36" s="17"/>
      <c r="I36" s="18"/>
      <c r="J36" s="20"/>
      <c r="K36" s="56"/>
      <c r="L36" s="56"/>
      <c r="M36" s="57"/>
      <c r="N36" s="102"/>
      <c r="O36" s="72"/>
      <c r="P36" s="72"/>
      <c r="Q36" s="72"/>
      <c r="R36" s="72"/>
      <c r="S36" s="72"/>
      <c r="T36" s="73"/>
      <c r="U36" s="73"/>
      <c r="V36" s="73"/>
      <c r="W36" s="73"/>
      <c r="X36" s="84"/>
      <c r="Y36" s="84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6"/>
      <c r="L37" s="56"/>
      <c r="M37" s="57"/>
      <c r="N37" s="72"/>
      <c r="O37" s="72"/>
      <c r="P37" s="72"/>
      <c r="Q37" s="72"/>
      <c r="R37" s="72"/>
      <c r="S37" s="72"/>
      <c r="T37" s="73"/>
      <c r="U37" s="73"/>
      <c r="V37" s="73"/>
      <c r="W37" s="73"/>
      <c r="X37" s="84"/>
      <c r="Y37" s="84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6"/>
      <c r="L38" s="56"/>
      <c r="M38" s="57"/>
      <c r="N38" s="72"/>
      <c r="O38" s="72"/>
      <c r="P38" s="72"/>
      <c r="Q38" s="72"/>
      <c r="R38" s="72"/>
      <c r="S38" s="72"/>
      <c r="T38" s="73"/>
      <c r="U38" s="73"/>
      <c r="V38" s="73"/>
      <c r="W38" s="73"/>
      <c r="X38" s="84"/>
      <c r="Y38" s="84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6"/>
      <c r="L39" s="56"/>
      <c r="M39" s="244"/>
      <c r="N39" s="244"/>
      <c r="O39" s="72"/>
      <c r="P39" s="72"/>
      <c r="Q39" s="72"/>
      <c r="R39" s="72"/>
      <c r="S39" s="72"/>
      <c r="T39" s="73"/>
      <c r="U39" s="73"/>
      <c r="V39" s="73"/>
      <c r="W39" s="73"/>
      <c r="X39" s="84"/>
      <c r="Y39" s="84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6"/>
      <c r="L40" s="56"/>
      <c r="M40" s="244">
        <f t="shared" ref="M40:N46" si="5">N27/N$34</f>
        <v>0.45798922583787155</v>
      </c>
      <c r="N40" s="244">
        <f t="shared" si="5"/>
        <v>0.42258814713081672</v>
      </c>
      <c r="O40" s="72"/>
      <c r="P40" s="72"/>
      <c r="Q40" s="72"/>
      <c r="R40" s="72"/>
      <c r="S40" s="72"/>
      <c r="T40" s="73"/>
      <c r="U40" s="73"/>
      <c r="V40" s="73"/>
      <c r="W40" s="73"/>
      <c r="X40" s="84"/>
      <c r="Y40" s="84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6"/>
      <c r="L41" s="56"/>
      <c r="M41" s="244">
        <f t="shared" si="5"/>
        <v>0.46244134884545191</v>
      </c>
      <c r="N41" s="244">
        <f t="shared" si="5"/>
        <v>0.48058185886312144</v>
      </c>
      <c r="O41" s="72"/>
      <c r="P41" s="72"/>
      <c r="Q41" s="72"/>
      <c r="R41" s="72"/>
      <c r="S41" s="72"/>
      <c r="T41" s="73"/>
      <c r="U41" s="73"/>
      <c r="V41" s="73"/>
      <c r="W41" s="73"/>
      <c r="X41" s="84"/>
      <c r="Y41" s="84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6"/>
      <c r="L42" s="56"/>
      <c r="M42" s="244">
        <f t="shared" si="5"/>
        <v>2.8354571484475989E-2</v>
      </c>
      <c r="N42" s="244">
        <f t="shared" si="5"/>
        <v>4.6370700310905351E-2</v>
      </c>
      <c r="O42" s="72"/>
      <c r="P42" s="72"/>
      <c r="Q42" s="72"/>
      <c r="R42" s="72"/>
      <c r="S42" s="72"/>
      <c r="T42" s="73"/>
      <c r="U42" s="73"/>
      <c r="V42" s="73"/>
      <c r="W42" s="73"/>
      <c r="X42" s="84"/>
      <c r="Y42" s="84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6"/>
      <c r="L43" s="56"/>
      <c r="M43" s="244">
        <f t="shared" si="5"/>
        <v>9.0540849428941028E-5</v>
      </c>
      <c r="N43" s="244">
        <f t="shared" si="5"/>
        <v>8.0504073827996803E-5</v>
      </c>
      <c r="O43" s="72"/>
      <c r="P43" s="72"/>
      <c r="Q43" s="72"/>
      <c r="R43" s="72"/>
      <c r="S43" s="72"/>
      <c r="T43" s="73"/>
      <c r="U43" s="73"/>
      <c r="V43" s="73"/>
      <c r="W43" s="73"/>
      <c r="X43" s="84"/>
      <c r="Y43" s="84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6"/>
      <c r="L44" s="56"/>
      <c r="M44" s="244">
        <f t="shared" si="5"/>
        <v>6.8030950053755094E-3</v>
      </c>
      <c r="N44" s="244">
        <f t="shared" si="5"/>
        <v>9.8667946948880376E-3</v>
      </c>
      <c r="O44" s="72"/>
      <c r="P44" s="72"/>
      <c r="Q44" s="72"/>
      <c r="R44" s="72"/>
      <c r="S44" s="72"/>
      <c r="T44" s="73"/>
      <c r="U44" s="73"/>
      <c r="V44" s="73"/>
      <c r="W44" s="73"/>
      <c r="X44" s="84"/>
      <c r="Y44" s="84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6"/>
      <c r="L45" s="56"/>
      <c r="M45" s="244">
        <f t="shared" si="5"/>
        <v>2.9912883383772494E-2</v>
      </c>
      <c r="N45" s="244">
        <f t="shared" si="5"/>
        <v>2.6486432432489434E-2</v>
      </c>
      <c r="O45" s="72"/>
      <c r="P45" s="72"/>
      <c r="Q45" s="72"/>
      <c r="R45" s="72"/>
      <c r="S45" s="72"/>
      <c r="T45" s="73"/>
      <c r="U45" s="73"/>
      <c r="V45" s="73"/>
      <c r="W45" s="73"/>
      <c r="X45" s="84"/>
      <c r="Y45" s="84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6"/>
      <c r="L46" s="56"/>
      <c r="M46" s="244">
        <f t="shared" si="5"/>
        <v>1.4408334593623525E-2</v>
      </c>
      <c r="N46" s="244">
        <f t="shared" si="5"/>
        <v>1.4025562493950925E-2</v>
      </c>
      <c r="O46" s="72"/>
      <c r="P46" s="72"/>
      <c r="Q46" s="72"/>
      <c r="R46" s="72"/>
      <c r="S46" s="72"/>
      <c r="T46" s="73"/>
      <c r="U46" s="73"/>
      <c r="V46" s="73"/>
      <c r="W46" s="73"/>
      <c r="X46" s="84"/>
      <c r="Y46" s="84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6"/>
      <c r="L47" s="56"/>
      <c r="M47" s="244">
        <f>N34/N$34</f>
        <v>1</v>
      </c>
      <c r="N47" s="244">
        <f>O34/O$34</f>
        <v>1</v>
      </c>
      <c r="O47" s="72"/>
      <c r="P47" s="72"/>
      <c r="Q47" s="72"/>
      <c r="R47" s="72"/>
      <c r="S47" s="72"/>
      <c r="T47" s="73"/>
      <c r="U47" s="73"/>
      <c r="V47" s="73"/>
      <c r="W47" s="73"/>
      <c r="X47" s="84"/>
      <c r="Y47" s="84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6"/>
      <c r="L48" s="56"/>
      <c r="M48" s="57"/>
      <c r="N48" s="72"/>
      <c r="O48" s="72"/>
      <c r="P48" s="72"/>
      <c r="Q48" s="72"/>
      <c r="R48" s="72"/>
      <c r="S48" s="72"/>
      <c r="T48" s="73"/>
      <c r="U48" s="73"/>
      <c r="V48" s="73"/>
      <c r="W48" s="73"/>
      <c r="X48" s="84"/>
      <c r="Y48" s="84"/>
      <c r="Z48" s="19"/>
      <c r="AA48" s="19"/>
      <c r="AB48" s="19"/>
    </row>
    <row r="49" spans="2:28" ht="15">
      <c r="B49" s="23" t="s">
        <v>104</v>
      </c>
      <c r="D49" s="26"/>
      <c r="E49" s="26"/>
      <c r="F49" s="26"/>
      <c r="G49" s="26"/>
      <c r="H49" s="26"/>
      <c r="I49" s="26"/>
      <c r="M49" s="245">
        <f>SUM(M39:M46)</f>
        <v>0.99999999999999989</v>
      </c>
      <c r="N49" s="245">
        <f>SUM(N39:N46)</f>
        <v>0.99999999999999989</v>
      </c>
      <c r="O49" s="72"/>
      <c r="P49" s="72"/>
      <c r="Q49" s="72"/>
      <c r="R49" s="72"/>
      <c r="S49" s="72"/>
      <c r="T49" s="73"/>
      <c r="U49" s="73"/>
      <c r="V49" s="73"/>
      <c r="W49" s="73"/>
      <c r="X49" s="84"/>
      <c r="Y49" s="84"/>
    </row>
    <row r="50" spans="2:28">
      <c r="C50" s="25"/>
      <c r="D50" s="26"/>
      <c r="E50" s="26"/>
      <c r="F50" s="26"/>
      <c r="G50" s="26"/>
      <c r="H50" s="26"/>
      <c r="I50" s="26"/>
      <c r="N50" s="72"/>
      <c r="O50" s="72"/>
      <c r="P50" s="72"/>
      <c r="Q50" s="72"/>
      <c r="R50" s="72"/>
      <c r="S50" s="72"/>
      <c r="T50" s="73"/>
      <c r="U50" s="73"/>
      <c r="V50" s="73"/>
      <c r="W50" s="73"/>
      <c r="X50" s="84"/>
      <c r="Y50" s="84"/>
    </row>
    <row r="51" spans="2:28">
      <c r="C51" s="10" t="s">
        <v>103</v>
      </c>
      <c r="D51" s="26"/>
      <c r="E51" s="26"/>
      <c r="F51" s="26"/>
      <c r="G51" s="26"/>
      <c r="H51" s="26"/>
      <c r="I51" s="26"/>
      <c r="N51" s="72"/>
      <c r="O51" s="72"/>
      <c r="P51" s="72"/>
      <c r="Q51" s="72"/>
      <c r="R51" s="72"/>
      <c r="S51" s="72"/>
      <c r="T51" s="73"/>
      <c r="U51" s="73"/>
      <c r="V51" s="73"/>
      <c r="W51" s="73"/>
      <c r="X51" s="84"/>
      <c r="Y51" s="84"/>
    </row>
    <row r="52" spans="2:28" ht="13.5" thickBot="1">
      <c r="C52" s="10"/>
      <c r="D52" s="26"/>
      <c r="E52" s="26"/>
      <c r="F52" s="26"/>
      <c r="G52" s="26"/>
      <c r="H52" s="26"/>
      <c r="I52" s="26"/>
      <c r="N52" s="72"/>
      <c r="O52" s="72"/>
      <c r="P52" s="72"/>
      <c r="Q52" s="72"/>
      <c r="R52" s="72"/>
      <c r="S52" s="72"/>
      <c r="T52" s="72"/>
      <c r="U52" s="72"/>
      <c r="V52" s="75"/>
    </row>
    <row r="53" spans="2:28">
      <c r="C53" s="369" t="s">
        <v>93</v>
      </c>
      <c r="D53" s="376" t="s">
        <v>125</v>
      </c>
      <c r="E53" s="376"/>
      <c r="F53" s="374" t="s">
        <v>75</v>
      </c>
      <c r="G53" s="377" t="s">
        <v>126</v>
      </c>
      <c r="H53" s="378"/>
      <c r="I53" s="374" t="s">
        <v>75</v>
      </c>
      <c r="N53" s="72"/>
      <c r="O53" s="72"/>
      <c r="P53" s="72"/>
      <c r="Q53" s="72"/>
      <c r="R53" s="72"/>
      <c r="S53" s="72"/>
      <c r="T53" s="72"/>
      <c r="U53" s="72"/>
      <c r="V53" s="75"/>
    </row>
    <row r="54" spans="2:28" s="1" customFormat="1">
      <c r="B54" s="19"/>
      <c r="C54" s="370"/>
      <c r="D54" s="99">
        <v>2018</v>
      </c>
      <c r="E54" s="100">
        <v>2019</v>
      </c>
      <c r="F54" s="375"/>
      <c r="G54" s="256">
        <v>2018</v>
      </c>
      <c r="H54" s="100">
        <v>2019</v>
      </c>
      <c r="I54" s="375"/>
      <c r="J54" s="20"/>
      <c r="K54" s="56"/>
      <c r="L54" s="56"/>
      <c r="M54" s="57"/>
      <c r="N54" s="72"/>
      <c r="O54" s="72"/>
      <c r="P54" s="72"/>
      <c r="Q54" s="72"/>
      <c r="R54" s="72"/>
      <c r="S54" s="72"/>
      <c r="T54" s="72"/>
      <c r="U54" s="72"/>
      <c r="V54" s="75"/>
      <c r="W54" s="59"/>
      <c r="X54" s="59"/>
      <c r="Y54" s="59"/>
      <c r="Z54" s="19"/>
      <c r="AA54" s="19"/>
      <c r="AB54" s="19"/>
    </row>
    <row r="55" spans="2:28" ht="24.75" customHeight="1">
      <c r="C55" s="313" t="s">
        <v>42</v>
      </c>
      <c r="D55" s="314">
        <f>SUM(D28:D30,D34)</f>
        <v>4285.0966536612732</v>
      </c>
      <c r="E55" s="315">
        <f>SUM(E28:E30,E34)</f>
        <v>4472.9221375413672</v>
      </c>
      <c r="F55" s="316">
        <f>+E55/D55-1</f>
        <v>4.3832263087837831E-2</v>
      </c>
      <c r="G55" s="317">
        <f>SUM(G28:G30,G34)</f>
        <v>34626.167826710298</v>
      </c>
      <c r="H55" s="315">
        <f>SUM(H28:H30,H34)</f>
        <v>35954.497000299518</v>
      </c>
      <c r="I55" s="316">
        <f>+H55/G55-1</f>
        <v>3.8362003564384128E-2</v>
      </c>
      <c r="M55" s="70"/>
      <c r="N55" s="74"/>
      <c r="O55" s="74"/>
      <c r="P55" s="74"/>
      <c r="Q55" s="74"/>
      <c r="R55" s="74"/>
      <c r="S55" s="74"/>
      <c r="T55" s="72"/>
      <c r="U55" s="72"/>
    </row>
    <row r="56" spans="2:28" ht="24.75" thickBot="1">
      <c r="C56" s="318" t="s">
        <v>111</v>
      </c>
      <c r="D56" s="319">
        <f>SUM(D31:D33)</f>
        <v>230.87599933333334</v>
      </c>
      <c r="E56" s="320">
        <f>SUM(E31:E33)</f>
        <v>237.29504027181764</v>
      </c>
      <c r="F56" s="321">
        <f>+E56/D56-1</f>
        <v>2.7802980634711316E-2</v>
      </c>
      <c r="G56" s="322">
        <f>SUM(G31:G33)</f>
        <v>1618.9715073000002</v>
      </c>
      <c r="H56" s="320">
        <f>SUM(H31:H33)</f>
        <v>1891.7258221784177</v>
      </c>
      <c r="I56" s="323">
        <f>+H56/G56-1</f>
        <v>0.16847382035357539</v>
      </c>
      <c r="N56" s="72"/>
      <c r="O56" s="72"/>
      <c r="P56" s="72"/>
      <c r="Q56" s="72"/>
      <c r="R56" s="72"/>
      <c r="S56" s="72"/>
      <c r="T56" s="72"/>
      <c r="U56" s="72"/>
    </row>
    <row r="57" spans="2:28">
      <c r="C57" s="117" t="s">
        <v>72</v>
      </c>
      <c r="D57" s="104">
        <f>SUM(D55:D56)</f>
        <v>4515.9726529946065</v>
      </c>
      <c r="E57" s="105">
        <f>SUM(E55:E56)</f>
        <v>4710.2171778131851</v>
      </c>
      <c r="F57" s="106">
        <f>+E57/D57-1</f>
        <v>4.3012777034814986E-2</v>
      </c>
      <c r="G57" s="273">
        <f>SUM(G55:G56)</f>
        <v>36245.139334010295</v>
      </c>
      <c r="H57" s="105">
        <f>SUM(H55:H56)</f>
        <v>37846.222822477939</v>
      </c>
      <c r="I57" s="106">
        <f>+H57/G57-1</f>
        <v>4.4173743511182639E-2</v>
      </c>
      <c r="N57" s="76"/>
      <c r="O57" s="76"/>
      <c r="P57" s="76"/>
      <c r="Q57" s="76"/>
      <c r="R57" s="76"/>
      <c r="S57" s="76"/>
      <c r="T57" s="76"/>
      <c r="U57" s="76"/>
    </row>
    <row r="58" spans="2:28" ht="13.5" thickBot="1">
      <c r="C58" s="130" t="s">
        <v>8</v>
      </c>
      <c r="D58" s="107">
        <f>+D56/D57</f>
        <v>5.1124312982771529E-2</v>
      </c>
      <c r="E58" s="108">
        <f>+E56/E57</f>
        <v>5.0378789621328399E-2</v>
      </c>
      <c r="F58" s="109"/>
      <c r="G58" s="274">
        <f>+G56/G57</f>
        <v>4.4667272275619396E-2</v>
      </c>
      <c r="H58" s="108">
        <f>+H56/H57</f>
        <v>4.9984534283692594E-2</v>
      </c>
      <c r="I58" s="109"/>
      <c r="N58" s="76"/>
      <c r="O58" s="76"/>
      <c r="P58" s="76"/>
      <c r="Q58" s="76"/>
      <c r="R58" s="76"/>
      <c r="S58" s="76"/>
      <c r="T58" s="76"/>
      <c r="U58" s="76"/>
    </row>
    <row r="59" spans="2:28" s="1" customFormat="1">
      <c r="B59" s="19"/>
      <c r="C59" s="284" t="s">
        <v>112</v>
      </c>
      <c r="D59" s="128"/>
      <c r="E59" s="128"/>
      <c r="F59" s="129"/>
      <c r="G59" s="26"/>
      <c r="H59" s="26"/>
      <c r="I59" s="26"/>
      <c r="J59" s="20"/>
      <c r="K59" s="56"/>
      <c r="L59" s="56"/>
      <c r="M59" s="57"/>
      <c r="N59" s="76"/>
      <c r="O59" s="76"/>
      <c r="P59" s="76"/>
      <c r="Q59" s="76"/>
      <c r="R59" s="76"/>
      <c r="S59" s="76"/>
      <c r="T59" s="76"/>
      <c r="U59" s="76"/>
      <c r="V59" s="59"/>
      <c r="W59" s="59"/>
      <c r="X59" s="59"/>
      <c r="Y59" s="59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7"/>
      <c r="L60" s="59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2:28">
      <c r="K61" s="77"/>
      <c r="L61" s="59"/>
      <c r="M61" s="78"/>
      <c r="N61" s="78"/>
      <c r="O61" s="78"/>
      <c r="P61" s="78"/>
      <c r="Q61" s="78"/>
      <c r="R61" s="78"/>
      <c r="S61" s="78"/>
      <c r="T61" s="78"/>
      <c r="U61" s="78"/>
      <c r="V61" s="78"/>
    </row>
    <row r="62" spans="2:28">
      <c r="K62" s="77"/>
      <c r="L62" s="57"/>
      <c r="P62" s="78"/>
      <c r="Q62" s="78"/>
      <c r="R62" s="78"/>
      <c r="S62" s="78"/>
      <c r="T62" s="78"/>
      <c r="U62" s="78"/>
      <c r="V62" s="78"/>
    </row>
    <row r="63" spans="2:28" ht="25.5">
      <c r="L63" s="87" t="s">
        <v>58</v>
      </c>
      <c r="M63" s="78">
        <f>D55</f>
        <v>4285.0966536612732</v>
      </c>
      <c r="N63" s="78">
        <f>E55</f>
        <v>4472.9221375413672</v>
      </c>
      <c r="O63" s="86">
        <v>4.4847805250167516E-2</v>
      </c>
      <c r="P63" s="79"/>
      <c r="Q63" s="79"/>
      <c r="R63" s="79"/>
      <c r="S63" s="79"/>
      <c r="T63" s="79"/>
    </row>
    <row r="64" spans="2:28" s="1" customFormat="1" ht="38.25">
      <c r="B64" s="19"/>
      <c r="J64" s="20"/>
      <c r="K64" s="77"/>
      <c r="L64" s="87" t="s">
        <v>59</v>
      </c>
      <c r="M64" s="78">
        <f>D56</f>
        <v>230.87599933333334</v>
      </c>
      <c r="N64" s="78">
        <f>E56</f>
        <v>237.29504027181764</v>
      </c>
      <c r="O64" s="86">
        <v>0.12281081992035348</v>
      </c>
      <c r="P64" s="78"/>
      <c r="Q64" s="78"/>
      <c r="R64" s="78"/>
      <c r="S64" s="78"/>
      <c r="T64" s="78"/>
      <c r="U64" s="78"/>
      <c r="V64" s="78"/>
      <c r="W64" s="78"/>
      <c r="X64" s="78"/>
      <c r="Y64" s="59"/>
      <c r="Z64" s="19"/>
      <c r="AA64" s="19"/>
      <c r="AB64" s="19"/>
    </row>
    <row r="65" spans="2:28" s="1" customFormat="1">
      <c r="B65" s="19"/>
      <c r="J65" s="20"/>
      <c r="K65" s="77"/>
      <c r="L65" s="59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59"/>
      <c r="Z65" s="19"/>
      <c r="AA65" s="19"/>
      <c r="AB65" s="19"/>
    </row>
    <row r="66" spans="2:28">
      <c r="K66" s="77"/>
      <c r="L66" s="59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2:28">
      <c r="K67" s="77"/>
      <c r="L67" s="59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2:28" ht="26.25" customHeight="1"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2:28" ht="24.75" customHeight="1"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2:28">
      <c r="M70" s="70"/>
      <c r="N70" s="74"/>
      <c r="O70" s="74"/>
      <c r="P70" s="74"/>
      <c r="Q70" s="74"/>
      <c r="R70" s="74"/>
      <c r="S70" s="74"/>
      <c r="T70" s="74"/>
      <c r="U70" s="74"/>
      <c r="V70" s="72"/>
    </row>
    <row r="71" spans="2:28">
      <c r="C71" s="284" t="s">
        <v>112</v>
      </c>
      <c r="M71" s="70"/>
      <c r="N71" s="80"/>
      <c r="O71" s="80"/>
      <c r="P71" s="80"/>
      <c r="Q71" s="80"/>
      <c r="R71" s="80"/>
      <c r="S71" s="80"/>
      <c r="T71" s="80"/>
      <c r="U71" s="80"/>
      <c r="V71" s="81"/>
    </row>
    <row r="72" spans="2:28" ht="15">
      <c r="B72" s="23" t="s">
        <v>105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6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59"/>
      <c r="W73" s="59"/>
      <c r="X73" s="59"/>
      <c r="Y73" s="59"/>
      <c r="Z73" s="19"/>
      <c r="AA73" s="19"/>
      <c r="AB73" s="19"/>
    </row>
    <row r="74" spans="2:28" s="1" customFormat="1" ht="15">
      <c r="B74" s="23"/>
      <c r="C74" s="10" t="s">
        <v>100</v>
      </c>
      <c r="D74" s="20"/>
      <c r="E74" s="20"/>
      <c r="F74" s="20"/>
      <c r="G74" s="20"/>
      <c r="H74" s="20"/>
      <c r="I74" s="20"/>
      <c r="J74" s="20"/>
      <c r="K74" s="56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59"/>
      <c r="W74" s="59"/>
      <c r="X74" s="59"/>
      <c r="Y74" s="59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9"/>
      <c r="L75" s="59"/>
      <c r="M75" s="57"/>
      <c r="N75" s="57">
        <v>2018</v>
      </c>
      <c r="O75" s="57">
        <v>2019</v>
      </c>
      <c r="P75" s="57"/>
      <c r="Q75" s="57"/>
      <c r="R75" s="57"/>
      <c r="S75" s="57"/>
      <c r="T75" s="57"/>
      <c r="U75" s="57"/>
      <c r="V75" s="59"/>
      <c r="W75" s="59"/>
      <c r="X75" s="59"/>
      <c r="Y75" s="59"/>
      <c r="Z75" s="19"/>
      <c r="AA75" s="19"/>
      <c r="AB75" s="19"/>
    </row>
    <row r="76" spans="2:28" s="1" customFormat="1" ht="15" customHeight="1">
      <c r="B76" s="19"/>
      <c r="C76" s="131"/>
      <c r="D76" s="371" t="s">
        <v>125</v>
      </c>
      <c r="E76" s="372"/>
      <c r="F76" s="110" t="s">
        <v>75</v>
      </c>
      <c r="G76" s="377" t="s">
        <v>126</v>
      </c>
      <c r="H76" s="378"/>
      <c r="I76" s="242" t="s">
        <v>75</v>
      </c>
      <c r="J76" s="19"/>
      <c r="K76" s="59"/>
      <c r="L76" s="59"/>
      <c r="M76" s="57" t="s">
        <v>98</v>
      </c>
      <c r="N76" s="72">
        <f>D78</f>
        <v>10.437775117499999</v>
      </c>
      <c r="O76" s="72">
        <f>E78</f>
        <v>0.41330410000000006</v>
      </c>
      <c r="P76" s="57"/>
      <c r="Q76" s="57"/>
      <c r="R76" s="57"/>
      <c r="S76" s="57"/>
      <c r="T76" s="57"/>
      <c r="U76" s="57"/>
      <c r="V76" s="59"/>
      <c r="W76" s="59"/>
      <c r="X76" s="59"/>
      <c r="Y76" s="59"/>
      <c r="Z76" s="19"/>
      <c r="AA76" s="19"/>
      <c r="AB76" s="19"/>
    </row>
    <row r="77" spans="2:28" s="1" customFormat="1" ht="12.75" customHeight="1">
      <c r="B77" s="19"/>
      <c r="C77" s="132" t="s">
        <v>97</v>
      </c>
      <c r="D77" s="133">
        <v>2018</v>
      </c>
      <c r="E77" s="248">
        <v>2019</v>
      </c>
      <c r="F77" s="111"/>
      <c r="G77" s="275">
        <v>2018</v>
      </c>
      <c r="H77" s="248">
        <v>2019</v>
      </c>
      <c r="I77" s="243"/>
      <c r="J77" s="19"/>
      <c r="K77" s="59"/>
      <c r="L77" s="59"/>
      <c r="M77" s="57" t="s">
        <v>99</v>
      </c>
      <c r="N77" s="72">
        <f>D79</f>
        <v>4330.7169584658322</v>
      </c>
      <c r="O77" s="72">
        <f>E79</f>
        <v>4527.047447214034</v>
      </c>
      <c r="P77" s="57"/>
      <c r="Q77" s="57"/>
      <c r="R77" s="57"/>
      <c r="S77" s="57"/>
      <c r="T77" s="57"/>
      <c r="U77" s="57"/>
      <c r="V77" s="59"/>
      <c r="W77" s="59"/>
      <c r="X77" s="59"/>
      <c r="Y77" s="59"/>
      <c r="Z77" s="19"/>
      <c r="AA77" s="19"/>
      <c r="AB77" s="19"/>
    </row>
    <row r="78" spans="2:28" ht="12.75" customHeight="1">
      <c r="C78" s="226" t="s">
        <v>98</v>
      </c>
      <c r="D78" s="165">
        <v>10.437775117499999</v>
      </c>
      <c r="E78" s="345">
        <v>0.41330410000000006</v>
      </c>
      <c r="F78" s="167">
        <f>((E78/D78)-1)</f>
        <v>-0.96040304611400817</v>
      </c>
      <c r="G78" s="252">
        <v>128.49880251499999</v>
      </c>
      <c r="H78" s="166">
        <v>184.30284788249998</v>
      </c>
      <c r="I78" s="167">
        <f>((H78/G78)-1)</f>
        <v>0.43427677359861638</v>
      </c>
      <c r="J78" s="19"/>
      <c r="K78" s="278"/>
      <c r="L78" s="59"/>
    </row>
    <row r="79" spans="2:28" ht="16.5" customHeight="1" thickBot="1">
      <c r="C79" s="324" t="s">
        <v>99</v>
      </c>
      <c r="D79" s="169">
        <f>Resumen!E40-D78</f>
        <v>4330.7169584658322</v>
      </c>
      <c r="E79" s="170">
        <f>Resumen!F40-E78</f>
        <v>4527.047447214034</v>
      </c>
      <c r="F79" s="171">
        <f>((E79/D79)-1)</f>
        <v>4.5334407820028177E-2</v>
      </c>
      <c r="G79" s="253">
        <f>Resumen!H40-G78</f>
        <v>34463.298165535001</v>
      </c>
      <c r="H79" s="170">
        <f>Resumen!I40-H78</f>
        <v>36019.758715872937</v>
      </c>
      <c r="I79" s="171">
        <f>((H79/G79)-1)</f>
        <v>4.5162843755171211E-2</v>
      </c>
      <c r="J79" s="19"/>
      <c r="K79" s="59"/>
      <c r="L79" s="59"/>
      <c r="M79" s="72"/>
      <c r="N79" s="72"/>
      <c r="O79" s="72"/>
    </row>
    <row r="80" spans="2:28" ht="14.25" thickTop="1" thickBot="1">
      <c r="C80" s="134" t="s">
        <v>96</v>
      </c>
      <c r="D80" s="246">
        <f>SUM(D78:D79)</f>
        <v>4341.154733583332</v>
      </c>
      <c r="E80" s="247">
        <f>SUM(E78:E79)</f>
        <v>4527.4607513140336</v>
      </c>
      <c r="F80" s="135"/>
      <c r="G80" s="276">
        <f>SUM(G78:G79)</f>
        <v>34591.796968050003</v>
      </c>
      <c r="H80" s="247">
        <f>SUM(H78:H79)</f>
        <v>36204.061563755437</v>
      </c>
      <c r="I80" s="135"/>
      <c r="J80" s="19"/>
      <c r="K80" s="59"/>
      <c r="L80" s="59"/>
      <c r="N80" s="72"/>
      <c r="O80" s="72"/>
    </row>
    <row r="81" spans="3:12">
      <c r="C81" s="92"/>
      <c r="D81" s="93"/>
      <c r="E81" s="93"/>
      <c r="F81" s="94"/>
      <c r="G81" s="9"/>
      <c r="H81" s="19"/>
      <c r="I81" s="19"/>
      <c r="J81" s="19"/>
      <c r="K81" s="59"/>
      <c r="L81" s="59"/>
    </row>
    <row r="82" spans="3:12">
      <c r="C82" s="19"/>
      <c r="D82" s="19"/>
      <c r="E82" s="19"/>
      <c r="F82" s="19"/>
      <c r="G82" s="19"/>
      <c r="H82" s="19"/>
      <c r="I82" s="19"/>
      <c r="J82" s="19"/>
      <c r="K82" s="59"/>
      <c r="L82" s="59"/>
    </row>
    <row r="83" spans="3:12">
      <c r="C83" s="19"/>
      <c r="D83" s="19"/>
      <c r="E83" s="19"/>
      <c r="F83" s="19"/>
      <c r="G83" s="19"/>
      <c r="H83" s="19"/>
      <c r="I83" s="19"/>
      <c r="J83" s="19"/>
      <c r="K83" s="59"/>
      <c r="L83" s="59"/>
    </row>
    <row r="84" spans="3:12">
      <c r="C84" s="19"/>
      <c r="D84" s="19"/>
      <c r="E84" s="19"/>
      <c r="F84" s="19"/>
      <c r="G84" s="19"/>
      <c r="H84" s="19"/>
      <c r="I84" s="19"/>
      <c r="J84" s="19"/>
      <c r="K84" s="59"/>
      <c r="L84" s="59"/>
    </row>
    <row r="85" spans="3:12">
      <c r="C85" s="19"/>
      <c r="D85" s="19"/>
      <c r="E85" s="19"/>
      <c r="F85" s="19"/>
      <c r="G85" s="19"/>
      <c r="H85" s="19"/>
      <c r="I85" s="19"/>
      <c r="J85" s="19"/>
      <c r="K85" s="59"/>
      <c r="L85" s="59"/>
    </row>
    <row r="86" spans="3:12">
      <c r="C86" s="19"/>
      <c r="D86" s="19"/>
      <c r="E86" s="19"/>
      <c r="F86" s="19"/>
      <c r="G86" s="19"/>
      <c r="H86" s="19"/>
      <c r="I86" s="19"/>
      <c r="J86" s="19"/>
      <c r="K86" s="59"/>
      <c r="L86" s="59"/>
    </row>
    <row r="87" spans="3:12">
      <c r="C87" s="19"/>
      <c r="D87" s="19"/>
      <c r="E87" s="19"/>
      <c r="F87" s="19"/>
      <c r="G87" s="19"/>
      <c r="H87" s="19"/>
      <c r="I87" s="19"/>
      <c r="J87" s="19"/>
      <c r="K87" s="59"/>
      <c r="L87" s="59"/>
    </row>
    <row r="88" spans="3:12">
      <c r="C88" s="19"/>
      <c r="D88" s="19"/>
      <c r="E88" s="19"/>
      <c r="F88" s="19"/>
      <c r="G88" s="19"/>
      <c r="H88" s="19"/>
      <c r="I88" s="19"/>
      <c r="J88" s="19"/>
      <c r="K88" s="59"/>
      <c r="L88" s="59"/>
    </row>
    <row r="89" spans="3:12">
      <c r="C89" s="19"/>
      <c r="D89" s="19"/>
      <c r="E89" s="19"/>
      <c r="F89" s="19"/>
      <c r="G89" s="19"/>
      <c r="H89" s="19"/>
      <c r="I89" s="19"/>
      <c r="J89" s="19"/>
      <c r="K89" s="59"/>
      <c r="L89" s="59"/>
    </row>
    <row r="90" spans="3:12">
      <c r="C90" s="19"/>
      <c r="D90" s="19"/>
      <c r="E90" s="19"/>
      <c r="F90" s="19"/>
      <c r="G90" s="19"/>
      <c r="H90" s="19"/>
      <c r="I90" s="19"/>
      <c r="J90" s="19"/>
      <c r="K90" s="59"/>
      <c r="L90" s="59"/>
    </row>
    <row r="91" spans="3:12">
      <c r="C91" s="19"/>
      <c r="D91" s="19"/>
      <c r="E91" s="19"/>
      <c r="F91" s="19"/>
      <c r="G91" s="19"/>
      <c r="H91" s="19"/>
      <c r="I91" s="19"/>
      <c r="J91" s="19"/>
      <c r="K91" s="59"/>
      <c r="L91" s="59"/>
    </row>
    <row r="92" spans="3:12">
      <c r="C92" s="19"/>
      <c r="D92" s="19"/>
      <c r="E92" s="19"/>
      <c r="F92" s="19"/>
      <c r="G92" s="19"/>
      <c r="H92" s="19"/>
      <c r="I92" s="19"/>
      <c r="J92" s="19"/>
      <c r="K92" s="59"/>
      <c r="L92" s="59"/>
    </row>
    <row r="93" spans="3:12">
      <c r="C93" s="19"/>
      <c r="D93" s="19"/>
      <c r="E93" s="19"/>
      <c r="F93" s="19"/>
      <c r="G93" s="19"/>
      <c r="H93" s="19"/>
      <c r="I93" s="19"/>
      <c r="J93" s="19"/>
      <c r="K93" s="59"/>
      <c r="L93" s="59"/>
    </row>
    <row r="94" spans="3:12">
      <c r="C94" s="19"/>
      <c r="D94" s="19"/>
      <c r="E94" s="19"/>
      <c r="F94" s="19"/>
      <c r="G94" s="19"/>
      <c r="H94" s="19"/>
      <c r="I94" s="19"/>
      <c r="J94" s="19"/>
      <c r="K94" s="59"/>
      <c r="L94" s="59"/>
    </row>
    <row r="95" spans="3:12">
      <c r="C95" s="19"/>
      <c r="D95" s="19"/>
      <c r="E95" s="19"/>
      <c r="F95" s="19"/>
      <c r="G95" s="19"/>
      <c r="H95" s="19"/>
      <c r="I95" s="19"/>
      <c r="J95" s="19"/>
      <c r="K95" s="59"/>
      <c r="L95" s="59"/>
    </row>
    <row r="96" spans="3:12">
      <c r="C96" s="19"/>
      <c r="D96" s="19"/>
      <c r="E96" s="19"/>
      <c r="F96" s="19"/>
      <c r="G96" s="19"/>
      <c r="H96" s="19"/>
      <c r="I96" s="19"/>
      <c r="J96" s="19"/>
      <c r="K96" s="59"/>
      <c r="L96" s="59"/>
    </row>
    <row r="97" spans="3:12">
      <c r="C97" s="19"/>
      <c r="D97" s="19"/>
      <c r="E97" s="19"/>
      <c r="F97" s="19"/>
      <c r="G97" s="19"/>
      <c r="H97" s="19"/>
      <c r="I97" s="19"/>
      <c r="J97" s="19"/>
      <c r="K97" s="59"/>
      <c r="L97" s="59"/>
    </row>
    <row r="98" spans="3:12">
      <c r="C98" s="19"/>
      <c r="D98" s="19"/>
      <c r="E98" s="19"/>
      <c r="F98" s="19"/>
      <c r="G98" s="19"/>
      <c r="H98" s="19"/>
      <c r="I98" s="19"/>
      <c r="J98" s="19"/>
      <c r="K98" s="59"/>
      <c r="L98" s="59"/>
    </row>
    <row r="99" spans="3:12">
      <c r="C99" s="19"/>
      <c r="D99" s="19"/>
      <c r="E99" s="19"/>
      <c r="F99" s="19"/>
      <c r="G99" s="19"/>
      <c r="H99" s="19"/>
      <c r="I99" s="19"/>
      <c r="J99" s="19"/>
      <c r="K99" s="59"/>
      <c r="L99" s="59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9"/>
      <c r="L100" s="59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9"/>
      <c r="L101" s="59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9"/>
      <c r="L102" s="59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9"/>
      <c r="L103" s="59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9"/>
      <c r="L104" s="59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9"/>
      <c r="L105" s="59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9"/>
      <c r="L106" s="59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topLeftCell="A20" zoomScaleNormal="100" zoomScaleSheetLayoutView="10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8" width="11.710937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94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106</v>
      </c>
      <c r="D4" s="3"/>
      <c r="E4" s="23"/>
      <c r="F4" s="23"/>
      <c r="G4" s="23"/>
      <c r="H4" s="23"/>
      <c r="I4" s="23"/>
      <c r="J4" s="23"/>
    </row>
    <row r="6" spans="2:13">
      <c r="C6" s="10" t="s">
        <v>130</v>
      </c>
    </row>
    <row r="7" spans="2:13" ht="6" customHeight="1" thickBot="1">
      <c r="C7" s="90"/>
      <c r="D7" s="91"/>
      <c r="E7" s="91"/>
      <c r="F7" s="91"/>
      <c r="G7" s="26"/>
      <c r="H7" s="26"/>
      <c r="I7" s="26"/>
      <c r="J7" s="26"/>
    </row>
    <row r="8" spans="2:13" ht="13.5" customHeight="1">
      <c r="C8" s="218" t="s">
        <v>44</v>
      </c>
      <c r="D8" s="371" t="s">
        <v>125</v>
      </c>
      <c r="E8" s="376"/>
      <c r="F8" s="374" t="s">
        <v>75</v>
      </c>
      <c r="G8" s="377" t="s">
        <v>126</v>
      </c>
      <c r="H8" s="378"/>
      <c r="I8" s="374" t="s">
        <v>75</v>
      </c>
      <c r="J8" s="26"/>
    </row>
    <row r="9" spans="2:13" s="1" customFormat="1" ht="13.5" customHeight="1">
      <c r="B9" s="19"/>
      <c r="C9" s="219"/>
      <c r="D9" s="114">
        <v>2018</v>
      </c>
      <c r="E9" s="100">
        <v>2019</v>
      </c>
      <c r="F9" s="375"/>
      <c r="G9" s="114">
        <v>2018</v>
      </c>
      <c r="H9" s="100">
        <v>2019</v>
      </c>
      <c r="I9" s="375"/>
      <c r="J9" s="26"/>
    </row>
    <row r="10" spans="2:13">
      <c r="C10" s="206" t="s">
        <v>10</v>
      </c>
      <c r="D10" s="207">
        <v>230.00692830231282</v>
      </c>
      <c r="E10" s="208">
        <v>266.54995240084639</v>
      </c>
      <c r="F10" s="209">
        <f>+E10/D10-1</f>
        <v>0.15887792758356722</v>
      </c>
      <c r="G10" s="207">
        <v>2118.9120404208243</v>
      </c>
      <c r="H10" s="208">
        <v>2392.438091904728</v>
      </c>
      <c r="I10" s="209">
        <f>+H10/G10-1</f>
        <v>0.12908796885668772</v>
      </c>
      <c r="J10" s="26"/>
      <c r="L10" s="153" t="s">
        <v>9</v>
      </c>
      <c r="M10" s="249">
        <f>E11</f>
        <v>3824.114617832648</v>
      </c>
    </row>
    <row r="11" spans="2:13">
      <c r="C11" s="210" t="s">
        <v>9</v>
      </c>
      <c r="D11" s="211">
        <v>3684.5618900486347</v>
      </c>
      <c r="E11" s="212">
        <v>3824.114617832648</v>
      </c>
      <c r="F11" s="213">
        <f>+E11/D11-1</f>
        <v>3.7874985398106853E-2</v>
      </c>
      <c r="G11" s="211">
        <v>29063.233985397837</v>
      </c>
      <c r="H11" s="212">
        <v>30261.679796965363</v>
      </c>
      <c r="I11" s="213">
        <f>+H11/G11-1</f>
        <v>4.123580370201263E-2</v>
      </c>
      <c r="J11" s="26"/>
      <c r="L11" s="153" t="s">
        <v>12</v>
      </c>
      <c r="M11" s="249">
        <f>E12</f>
        <v>548.8993499124972</v>
      </c>
    </row>
    <row r="12" spans="2:13">
      <c r="C12" s="210" t="s">
        <v>12</v>
      </c>
      <c r="D12" s="211">
        <v>542.75236991032739</v>
      </c>
      <c r="E12" s="212">
        <v>548.8993499124972</v>
      </c>
      <c r="F12" s="213">
        <f>+E12/D12-1</f>
        <v>1.1325570081224035E-2</v>
      </c>
      <c r="G12" s="211">
        <v>4474.6209501888961</v>
      </c>
      <c r="H12" s="212">
        <v>4654.8029348073123</v>
      </c>
      <c r="I12" s="213">
        <f>+H12/G12-1</f>
        <v>4.0267541457519318E-2</v>
      </c>
      <c r="J12" s="26"/>
      <c r="L12" s="153" t="s">
        <v>10</v>
      </c>
      <c r="M12" s="249">
        <f>E10</f>
        <v>266.54995240084639</v>
      </c>
    </row>
    <row r="13" spans="2:13">
      <c r="C13" s="214" t="s">
        <v>11</v>
      </c>
      <c r="D13" s="215">
        <v>58.651464733333349</v>
      </c>
      <c r="E13" s="216">
        <v>70.653257667197849</v>
      </c>
      <c r="F13" s="217">
        <f>+E13/D13-1</f>
        <v>0.20462904018564987</v>
      </c>
      <c r="G13" s="215">
        <v>588.37235800273436</v>
      </c>
      <c r="H13" s="216">
        <v>537.30199880053112</v>
      </c>
      <c r="I13" s="217">
        <f>+H13/G13-1</f>
        <v>-8.6799385640013216E-2</v>
      </c>
      <c r="J13" s="26"/>
      <c r="L13" s="153" t="s">
        <v>11</v>
      </c>
      <c r="M13" s="249">
        <f>E13</f>
        <v>70.653257667197849</v>
      </c>
    </row>
    <row r="14" spans="2:13" ht="13.5" thickBot="1">
      <c r="C14" s="220" t="s">
        <v>115</v>
      </c>
      <c r="D14" s="221">
        <f>SUM(D10:D13)</f>
        <v>4515.9726529946083</v>
      </c>
      <c r="E14" s="222">
        <f>SUM(E10:E13)</f>
        <v>4710.2171778131897</v>
      </c>
      <c r="F14" s="223">
        <f>+E14/D14-1</f>
        <v>4.301277703481543E-2</v>
      </c>
      <c r="G14" s="221">
        <f>SUM(G10:G13)</f>
        <v>36245.139334010295</v>
      </c>
      <c r="H14" s="222">
        <f>SUM(H10:H13)</f>
        <v>37846.222822477939</v>
      </c>
      <c r="I14" s="223">
        <f>+H14/G14-1</f>
        <v>4.4173743511182639E-2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129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83" t="s">
        <v>95</v>
      </c>
      <c r="D18" s="383"/>
      <c r="E18" s="383"/>
      <c r="F18" s="383"/>
      <c r="G18" s="384" t="s">
        <v>114</v>
      </c>
      <c r="H18" s="385"/>
      <c r="I18" s="385"/>
      <c r="J18" s="385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4" t="s">
        <v>12</v>
      </c>
      <c r="R42" s="30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5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5" t="s">
        <v>12</v>
      </c>
      <c r="R44" s="19" t="s">
        <v>38</v>
      </c>
    </row>
    <row r="45" spans="3:26" ht="13.5" thickBot="1">
      <c r="C45" s="25"/>
      <c r="D45" s="19"/>
      <c r="E45" s="19"/>
      <c r="F45" s="19"/>
      <c r="G45" s="19"/>
      <c r="J45" s="19"/>
      <c r="Q45" s="36" t="s">
        <v>11</v>
      </c>
      <c r="R45" s="37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1">
      <c r="C49" s="25"/>
      <c r="D49" s="19"/>
      <c r="E49" s="19"/>
      <c r="F49" s="19"/>
      <c r="G49" s="19"/>
      <c r="H49" s="19"/>
      <c r="I49" s="19"/>
      <c r="J49" s="19"/>
    </row>
    <row r="50" spans="3:11">
      <c r="C50" s="25"/>
      <c r="D50" s="19"/>
      <c r="E50" s="19"/>
      <c r="F50" s="19"/>
      <c r="G50" s="19"/>
      <c r="H50" s="19"/>
      <c r="I50" s="19"/>
      <c r="J50" s="19"/>
    </row>
    <row r="51" spans="3:11">
      <c r="C51" s="25"/>
      <c r="D51" s="19"/>
      <c r="E51" s="19"/>
      <c r="F51" s="19"/>
      <c r="G51" s="19"/>
      <c r="H51" s="19"/>
      <c r="I51" s="19"/>
      <c r="J51" s="19"/>
    </row>
    <row r="52" spans="3:11">
      <c r="C52" s="25"/>
      <c r="D52" s="19"/>
      <c r="E52" s="19"/>
      <c r="F52" s="19"/>
      <c r="G52" s="19"/>
      <c r="H52" s="19"/>
      <c r="I52" s="38"/>
      <c r="J52" s="19"/>
    </row>
    <row r="53" spans="3:11" ht="13.5" thickBot="1">
      <c r="C53" s="224" t="s">
        <v>101</v>
      </c>
      <c r="D53" s="89"/>
      <c r="E53" s="89"/>
      <c r="F53" s="89"/>
      <c r="G53" s="89"/>
      <c r="H53" s="89"/>
      <c r="I53" s="38"/>
      <c r="J53" s="19"/>
    </row>
    <row r="54" spans="3:11">
      <c r="C54" s="379" t="s">
        <v>13</v>
      </c>
      <c r="D54" s="381" t="s">
        <v>128</v>
      </c>
      <c r="E54" s="382"/>
      <c r="F54" s="382"/>
      <c r="G54" s="382"/>
      <c r="H54" s="382"/>
      <c r="I54" s="19"/>
      <c r="J54" s="19"/>
    </row>
    <row r="55" spans="3:11">
      <c r="C55" s="380"/>
      <c r="D55" s="118" t="s">
        <v>14</v>
      </c>
      <c r="E55" s="119" t="s">
        <v>15</v>
      </c>
      <c r="F55" s="119" t="s">
        <v>5</v>
      </c>
      <c r="G55" s="119" t="s">
        <v>16</v>
      </c>
      <c r="H55" s="119" t="s">
        <v>72</v>
      </c>
      <c r="I55" s="19"/>
      <c r="J55" s="19"/>
    </row>
    <row r="56" spans="3:11">
      <c r="C56" s="225" t="s">
        <v>10</v>
      </c>
      <c r="D56" s="229">
        <v>59.081042282500015</v>
      </c>
      <c r="E56" s="230">
        <v>91.562169688767653</v>
      </c>
      <c r="F56" s="230">
        <v>0</v>
      </c>
      <c r="G56" s="230">
        <v>115.90674042957872</v>
      </c>
      <c r="H56" s="230">
        <f>SUM(D56:G56)</f>
        <v>266.54995240084639</v>
      </c>
      <c r="I56" s="348"/>
      <c r="K56" s="337"/>
    </row>
    <row r="57" spans="3:11">
      <c r="C57" s="226" t="s">
        <v>9</v>
      </c>
      <c r="D57" s="231">
        <v>0</v>
      </c>
      <c r="E57" s="232">
        <v>1632.1951987997711</v>
      </c>
      <c r="F57" s="232">
        <v>0</v>
      </c>
      <c r="G57" s="232">
        <v>2191.9194190328772</v>
      </c>
      <c r="H57" s="232">
        <f>SUM(D57:G57)</f>
        <v>3824.114617832648</v>
      </c>
      <c r="I57" s="348"/>
      <c r="K57" s="337"/>
    </row>
    <row r="58" spans="3:11">
      <c r="C58" s="226" t="s">
        <v>12</v>
      </c>
      <c r="D58" s="231">
        <v>65.67580673999997</v>
      </c>
      <c r="E58" s="232">
        <v>266.72458126727969</v>
      </c>
      <c r="F58" s="232">
        <f>Resumen!D15</f>
        <v>66.063445387499982</v>
      </c>
      <c r="G58" s="232">
        <v>150.43551651771753</v>
      </c>
      <c r="H58" s="232">
        <f>SUM(D58:G58)</f>
        <v>548.8993499124972</v>
      </c>
      <c r="I58" s="348"/>
      <c r="K58" s="337"/>
    </row>
    <row r="59" spans="3:11">
      <c r="C59" s="227" t="s">
        <v>11</v>
      </c>
      <c r="D59" s="233">
        <v>0</v>
      </c>
      <c r="E59" s="234">
        <v>0</v>
      </c>
      <c r="F59" s="234">
        <v>0</v>
      </c>
      <c r="G59" s="234">
        <f>'Por Región'!E23</f>
        <v>70.653257667197849</v>
      </c>
      <c r="H59" s="234">
        <f>SUM(D59:G59)</f>
        <v>70.653257667197849</v>
      </c>
      <c r="I59" s="279"/>
      <c r="K59" s="19"/>
    </row>
    <row r="60" spans="3:11" ht="13.5" thickBot="1">
      <c r="C60" s="120" t="s">
        <v>115</v>
      </c>
      <c r="D60" s="235">
        <f>SUM(D56:D59)</f>
        <v>124.75684902249998</v>
      </c>
      <c r="E60" s="236">
        <f>SUM(E56:E59)</f>
        <v>1990.4819497558185</v>
      </c>
      <c r="F60" s="236">
        <f>SUM(F56:F59)</f>
        <v>66.063445387499982</v>
      </c>
      <c r="G60" s="236">
        <f>SUM(G56:G59)</f>
        <v>2528.9149336473715</v>
      </c>
      <c r="H60" s="236">
        <f>SUM(H56:H59)</f>
        <v>4710.2171778131897</v>
      </c>
      <c r="I60" s="19"/>
      <c r="J60" s="19"/>
    </row>
    <row r="61" spans="3:11" ht="6.75" customHeight="1">
      <c r="C61" s="19"/>
      <c r="D61" s="19"/>
      <c r="E61" s="19"/>
      <c r="F61" s="19"/>
      <c r="G61" s="19"/>
      <c r="H61" s="19"/>
      <c r="I61" s="19"/>
      <c r="J61" s="19"/>
    </row>
    <row r="62" spans="3:11">
      <c r="C62" s="19"/>
      <c r="D62" s="19"/>
      <c r="E62" s="19"/>
      <c r="F62" s="19"/>
      <c r="G62" s="19"/>
      <c r="H62" s="19"/>
      <c r="I62" s="19"/>
      <c r="J62" s="19"/>
    </row>
    <row r="63" spans="3:11">
      <c r="C63" s="19"/>
      <c r="D63" s="19"/>
      <c r="E63" s="19"/>
      <c r="F63" s="19"/>
      <c r="G63" s="19"/>
      <c r="H63" s="19"/>
      <c r="I63" s="19"/>
      <c r="J63" s="19"/>
    </row>
    <row r="64" spans="3:11">
      <c r="H64" s="127"/>
    </row>
    <row r="65" spans="5:5">
      <c r="E65" s="127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8" zoomScaleNormal="100" zoomScaleSheetLayoutView="100" workbookViewId="0">
      <selection activeCell="C35" sqref="C35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4"/>
      <c r="L1" s="44"/>
      <c r="M1" s="45"/>
      <c r="N1" s="45"/>
      <c r="O1" s="45"/>
      <c r="P1" s="45"/>
      <c r="Q1" s="45"/>
      <c r="R1" s="45"/>
    </row>
    <row r="2" spans="3:19" ht="15">
      <c r="C2" s="23" t="s">
        <v>107</v>
      </c>
      <c r="D2" s="3"/>
      <c r="E2" s="23"/>
      <c r="F2" s="23"/>
      <c r="G2" s="23"/>
      <c r="H2" s="23"/>
      <c r="I2" s="23"/>
      <c r="J2" s="23"/>
      <c r="K2" s="4"/>
      <c r="L2" s="4"/>
      <c r="M2" s="46"/>
      <c r="N2" s="46"/>
      <c r="O2" s="46"/>
      <c r="P2" s="46"/>
      <c r="Q2" s="46"/>
      <c r="R2" s="46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6"/>
      <c r="N3" s="46"/>
      <c r="O3" s="46"/>
      <c r="P3" s="46"/>
      <c r="Q3" s="46"/>
      <c r="R3" s="46"/>
    </row>
    <row r="4" spans="3:19" ht="15">
      <c r="C4" s="10" t="s">
        <v>102</v>
      </c>
      <c r="D4" s="3"/>
      <c r="E4" s="23"/>
      <c r="F4" s="23"/>
      <c r="G4" s="23"/>
      <c r="H4" s="23"/>
      <c r="I4" s="23"/>
      <c r="J4" s="23"/>
      <c r="K4" s="4"/>
      <c r="L4" s="4"/>
      <c r="M4" s="46"/>
      <c r="N4" s="46"/>
      <c r="O4" s="46"/>
      <c r="P4" s="46"/>
      <c r="Q4" s="46"/>
      <c r="R4" s="46"/>
    </row>
    <row r="5" spans="3:19" ht="13.5" thickBot="1">
      <c r="C5"/>
      <c r="D5"/>
      <c r="E5"/>
      <c r="F5"/>
      <c r="G5"/>
    </row>
    <row r="6" spans="3:19" ht="12.75" customHeight="1">
      <c r="C6" s="112" t="s">
        <v>61</v>
      </c>
      <c r="D6" s="371" t="s">
        <v>125</v>
      </c>
      <c r="E6" s="376"/>
      <c r="F6" s="374" t="s">
        <v>75</v>
      </c>
      <c r="G6" s="377" t="s">
        <v>126</v>
      </c>
      <c r="H6" s="378"/>
      <c r="I6" s="374" t="s">
        <v>75</v>
      </c>
      <c r="O6" s="48"/>
      <c r="P6" s="88"/>
    </row>
    <row r="7" spans="3:19" ht="12.75" customHeight="1">
      <c r="C7" s="113"/>
      <c r="D7" s="114">
        <v>2018</v>
      </c>
      <c r="E7" s="100">
        <v>2019</v>
      </c>
      <c r="F7" s="375"/>
      <c r="G7" s="256">
        <v>2018</v>
      </c>
      <c r="H7" s="100">
        <v>2019</v>
      </c>
      <c r="I7" s="375"/>
      <c r="O7" s="48"/>
      <c r="P7" s="88"/>
    </row>
    <row r="8" spans="3:19" ht="20.100000000000001" customHeight="1">
      <c r="C8" s="122" t="s">
        <v>17</v>
      </c>
      <c r="D8" s="237">
        <v>5.9054030000000006</v>
      </c>
      <c r="E8" s="309">
        <v>4.7102171778131909</v>
      </c>
      <c r="F8" s="239">
        <f>+E8/D8-1</f>
        <v>-0.20238852829972986</v>
      </c>
      <c r="G8" s="257">
        <v>44.240479000000001</v>
      </c>
      <c r="H8" s="309">
        <v>40.428050217813187</v>
      </c>
      <c r="I8" s="239">
        <f>+H8/G8-1</f>
        <v>-8.6175124419127891E-2</v>
      </c>
      <c r="J8" s="26"/>
      <c r="K8" s="47"/>
      <c r="L8" s="47"/>
      <c r="N8" s="8"/>
      <c r="O8" s="48"/>
      <c r="P8" s="88"/>
    </row>
    <row r="9" spans="3:19" ht="20.100000000000001" customHeight="1">
      <c r="C9" s="123" t="s">
        <v>18</v>
      </c>
      <c r="D9" s="238">
        <v>83.761913700000008</v>
      </c>
      <c r="E9" s="310">
        <v>103.62477791189018</v>
      </c>
      <c r="F9" s="240">
        <f t="shared" ref="F9:F32" si="0">+E9/D9-1</f>
        <v>0.23713479473535681</v>
      </c>
      <c r="G9" s="258">
        <v>1548.7568227196277</v>
      </c>
      <c r="H9" s="310">
        <v>1565.2992113668899</v>
      </c>
      <c r="I9" s="325">
        <f t="shared" ref="I9:I32" si="1">+H9/G9-1</f>
        <v>1.068107555982456E-2</v>
      </c>
      <c r="J9" s="26"/>
      <c r="K9" s="47"/>
      <c r="L9" s="47"/>
      <c r="N9" s="8"/>
      <c r="O9" s="48"/>
      <c r="P9" s="88"/>
    </row>
    <row r="10" spans="3:19" ht="20.100000000000001" customHeight="1">
      <c r="C10" s="124" t="s">
        <v>19</v>
      </c>
      <c r="D10" s="238">
        <v>3.3019581474691835</v>
      </c>
      <c r="E10" s="310">
        <v>3.2971520244692329</v>
      </c>
      <c r="F10" s="240">
        <f t="shared" si="0"/>
        <v>-1.4555372252776921E-3</v>
      </c>
      <c r="G10" s="258">
        <v>33.535602043104539</v>
      </c>
      <c r="H10" s="310">
        <v>31.45909963150724</v>
      </c>
      <c r="I10" s="240">
        <f t="shared" si="1"/>
        <v>-6.1919341985520182E-2</v>
      </c>
      <c r="J10" s="26"/>
      <c r="K10" s="47"/>
      <c r="L10" s="47"/>
      <c r="O10" s="48"/>
      <c r="P10" s="88"/>
    </row>
    <row r="11" spans="3:19" ht="20.100000000000001" customHeight="1">
      <c r="C11" s="123" t="s">
        <v>20</v>
      </c>
      <c r="D11" s="238">
        <v>103.25005496857676</v>
      </c>
      <c r="E11" s="310">
        <v>89.494126378450616</v>
      </c>
      <c r="F11" s="240">
        <f t="shared" si="0"/>
        <v>-0.13322926166298543</v>
      </c>
      <c r="G11" s="258">
        <v>843.26719988686045</v>
      </c>
      <c r="H11" s="310">
        <v>807.16190993068119</v>
      </c>
      <c r="I11" s="240">
        <f t="shared" si="1"/>
        <v>-4.2815954374868848E-2</v>
      </c>
      <c r="J11" s="26"/>
      <c r="K11" s="47"/>
      <c r="L11" s="47"/>
      <c r="N11" s="50"/>
      <c r="P11" s="12"/>
    </row>
    <row r="12" spans="3:19" ht="20.100000000000001" customHeight="1">
      <c r="C12" s="123" t="s">
        <v>21</v>
      </c>
      <c r="D12" s="238">
        <v>1.0472608276147199</v>
      </c>
      <c r="E12" s="310">
        <v>0.71967306757829286</v>
      </c>
      <c r="F12" s="240">
        <f t="shared" si="0"/>
        <v>-0.31280436678086498</v>
      </c>
      <c r="G12" s="258">
        <v>11.37045902559818</v>
      </c>
      <c r="H12" s="310">
        <v>5.7849725314585694</v>
      </c>
      <c r="I12" s="240">
        <f t="shared" si="1"/>
        <v>-0.49122788108774418</v>
      </c>
      <c r="J12" s="26"/>
      <c r="K12" s="47"/>
      <c r="L12" s="47"/>
      <c r="N12" s="8"/>
      <c r="O12" s="48"/>
      <c r="P12" s="88"/>
      <c r="Q12" s="48"/>
      <c r="R12" s="48"/>
      <c r="S12" s="48"/>
    </row>
    <row r="13" spans="3:19" ht="20.100000000000001" customHeight="1">
      <c r="C13" s="123" t="s">
        <v>22</v>
      </c>
      <c r="D13" s="238">
        <v>34.069789538840183</v>
      </c>
      <c r="E13" s="310">
        <v>70.653257667197849</v>
      </c>
      <c r="F13" s="240">
        <f t="shared" si="0"/>
        <v>1.0737802793484192</v>
      </c>
      <c r="G13" s="258">
        <v>720.85827552676244</v>
      </c>
      <c r="H13" s="310">
        <v>841.78066879927235</v>
      </c>
      <c r="I13" s="240">
        <f t="shared" si="1"/>
        <v>0.16774780477361739</v>
      </c>
      <c r="J13" s="26"/>
      <c r="K13" s="47"/>
      <c r="L13" s="47"/>
      <c r="O13" s="48"/>
      <c r="P13" s="88"/>
      <c r="Q13" s="48"/>
      <c r="R13" s="48"/>
      <c r="S13" s="48"/>
    </row>
    <row r="14" spans="3:19" ht="20.100000000000001" customHeight="1">
      <c r="C14" s="123" t="s">
        <v>60</v>
      </c>
      <c r="D14" s="238">
        <v>312.33572037243522</v>
      </c>
      <c r="E14" s="310">
        <v>315.58455091348378</v>
      </c>
      <c r="F14" s="240">
        <f t="shared" si="0"/>
        <v>1.0401725864638944E-2</v>
      </c>
      <c r="G14" s="258">
        <v>2141.4846315975556</v>
      </c>
      <c r="H14" s="310">
        <v>2173.5334432306595</v>
      </c>
      <c r="I14" s="240">
        <f t="shared" si="1"/>
        <v>1.4965697703464453E-2</v>
      </c>
      <c r="J14" s="19"/>
      <c r="K14" s="47"/>
      <c r="L14" s="47"/>
      <c r="O14" s="48"/>
      <c r="P14" s="88"/>
      <c r="Q14" s="48"/>
      <c r="R14" s="48"/>
      <c r="S14" s="48"/>
    </row>
    <row r="15" spans="3:19" ht="20.100000000000001" customHeight="1">
      <c r="C15" s="123" t="s">
        <v>23</v>
      </c>
      <c r="D15" s="238">
        <v>143.49283606666668</v>
      </c>
      <c r="E15" s="310">
        <v>155.43716686783526</v>
      </c>
      <c r="F15" s="240">
        <f t="shared" si="0"/>
        <v>8.323991028805966E-2</v>
      </c>
      <c r="G15" s="258">
        <v>1447.2440985333333</v>
      </c>
      <c r="H15" s="310">
        <v>1450.7680619145019</v>
      </c>
      <c r="I15" s="346">
        <f t="shared" si="1"/>
        <v>2.4349474872551458E-3</v>
      </c>
      <c r="J15" s="19"/>
      <c r="K15" s="47"/>
      <c r="L15" s="47"/>
      <c r="O15" s="48"/>
      <c r="P15" s="88"/>
      <c r="Q15" s="48"/>
      <c r="R15" s="48"/>
      <c r="S15" s="48"/>
    </row>
    <row r="16" spans="3:19" ht="20.100000000000001" customHeight="1">
      <c r="C16" s="123" t="s">
        <v>24</v>
      </c>
      <c r="D16" s="238">
        <v>841.03953200000001</v>
      </c>
      <c r="E16" s="310">
        <v>852.54930918418734</v>
      </c>
      <c r="F16" s="240">
        <f t="shared" si="0"/>
        <v>1.3685179764162836E-2</v>
      </c>
      <c r="G16" s="258">
        <v>7043.5319970281234</v>
      </c>
      <c r="H16" s="310">
        <v>7014.6945970096813</v>
      </c>
      <c r="I16" s="346">
        <f t="shared" si="1"/>
        <v>-4.0941675327960114E-3</v>
      </c>
      <c r="J16" s="19"/>
      <c r="K16" s="47"/>
      <c r="L16" s="47"/>
      <c r="N16" s="8"/>
      <c r="O16" s="48"/>
      <c r="P16" s="88"/>
      <c r="Q16" s="48"/>
      <c r="R16" s="48"/>
      <c r="S16" s="48"/>
    </row>
    <row r="17" spans="3:19" ht="20.100000000000001" customHeight="1">
      <c r="C17" s="123" t="s">
        <v>25</v>
      </c>
      <c r="D17" s="238">
        <v>93.38586513333334</v>
      </c>
      <c r="E17" s="310">
        <v>117.75542944532977</v>
      </c>
      <c r="F17" s="240">
        <f t="shared" si="0"/>
        <v>0.26095559833602588</v>
      </c>
      <c r="G17" s="258">
        <v>1821.622200146822</v>
      </c>
      <c r="H17" s="310">
        <v>1822.3485737461631</v>
      </c>
      <c r="I17" s="346">
        <f t="shared" si="1"/>
        <v>3.9875095905306246E-4</v>
      </c>
      <c r="J17" s="19"/>
      <c r="K17" s="47"/>
      <c r="L17" s="47"/>
      <c r="M17" s="8"/>
      <c r="N17" s="8"/>
      <c r="O17" s="48"/>
      <c r="P17" s="88"/>
      <c r="Q17" s="48"/>
      <c r="R17" s="48"/>
      <c r="S17" s="48"/>
    </row>
    <row r="18" spans="3:19" ht="20.100000000000001" customHeight="1">
      <c r="C18" s="123" t="s">
        <v>26</v>
      </c>
      <c r="D18" s="238">
        <v>141.13562606666667</v>
      </c>
      <c r="E18" s="310">
        <v>148.37184110111548</v>
      </c>
      <c r="F18" s="240">
        <f t="shared" si="0"/>
        <v>5.1271356751772412E-2</v>
      </c>
      <c r="G18" s="258">
        <v>1006.3359535333333</v>
      </c>
      <c r="H18" s="310">
        <v>1155.9034601252822</v>
      </c>
      <c r="I18" s="240">
        <f t="shared" si="1"/>
        <v>0.14862582030067029</v>
      </c>
      <c r="J18" s="19"/>
      <c r="K18" s="47"/>
      <c r="L18" s="47"/>
      <c r="O18" s="48"/>
      <c r="P18" s="88"/>
      <c r="Q18" s="48"/>
      <c r="R18" s="48"/>
      <c r="S18" s="48"/>
    </row>
    <row r="19" spans="3:19" ht="20.100000000000001" customHeight="1">
      <c r="C19" s="123" t="s">
        <v>27</v>
      </c>
      <c r="D19" s="238">
        <v>237.40484346666665</v>
      </c>
      <c r="E19" s="310">
        <v>193.11890429034082</v>
      </c>
      <c r="F19" s="240">
        <f t="shared" si="0"/>
        <v>-0.18654185200961959</v>
      </c>
      <c r="G19" s="258">
        <v>2206.3667952333335</v>
      </c>
      <c r="H19" s="310">
        <v>2033.1366711841076</v>
      </c>
      <c r="I19" s="325">
        <f t="shared" si="1"/>
        <v>-7.8513746863610678E-2</v>
      </c>
      <c r="J19" s="19"/>
      <c r="K19" s="47"/>
      <c r="L19" s="47"/>
      <c r="M19" s="8"/>
      <c r="N19" s="8"/>
      <c r="P19" s="12"/>
      <c r="Q19" s="48"/>
      <c r="R19" s="48"/>
      <c r="S19" s="48"/>
    </row>
    <row r="20" spans="3:19" ht="20.100000000000001" customHeight="1">
      <c r="C20" s="123" t="s">
        <v>28</v>
      </c>
      <c r="D20" s="238">
        <v>50.95125669846729</v>
      </c>
      <c r="E20" s="310">
        <v>59.348736440446189</v>
      </c>
      <c r="F20" s="240">
        <f t="shared" si="0"/>
        <v>0.16481398666328695</v>
      </c>
      <c r="G20" s="258">
        <v>432.7881253710716</v>
      </c>
      <c r="H20" s="310">
        <v>487.56680065821581</v>
      </c>
      <c r="I20" s="240">
        <f t="shared" si="1"/>
        <v>0.12657157642709604</v>
      </c>
      <c r="J20" s="19"/>
      <c r="K20" s="47"/>
      <c r="L20" s="47"/>
      <c r="O20" s="48"/>
      <c r="P20" s="88"/>
      <c r="Q20" s="48"/>
      <c r="R20" s="48"/>
      <c r="S20" s="48"/>
    </row>
    <row r="21" spans="3:19" ht="20.100000000000001" customHeight="1">
      <c r="C21" s="123" t="s">
        <v>29</v>
      </c>
      <c r="D21" s="238">
        <v>8.6580400166666678</v>
      </c>
      <c r="E21" s="310">
        <v>4.9457280367038496</v>
      </c>
      <c r="F21" s="240">
        <f t="shared" si="0"/>
        <v>-0.42877048071118207</v>
      </c>
      <c r="G21" s="258">
        <v>42.066493883333344</v>
      </c>
      <c r="H21" s="310">
        <v>41.13061029837052</v>
      </c>
      <c r="I21" s="240">
        <f t="shared" si="1"/>
        <v>-2.2247720182204667E-2</v>
      </c>
      <c r="J21" s="26"/>
      <c r="K21" s="47"/>
      <c r="L21" s="47"/>
      <c r="O21" s="48"/>
      <c r="P21" s="88"/>
      <c r="Q21" s="48"/>
      <c r="R21" s="48"/>
      <c r="S21" s="48"/>
    </row>
    <row r="22" spans="3:19" ht="20.100000000000001" customHeight="1">
      <c r="C22" s="123" t="s">
        <v>30</v>
      </c>
      <c r="D22" s="238">
        <v>1984.9626420428658</v>
      </c>
      <c r="E22" s="310">
        <v>2150.5744545556217</v>
      </c>
      <c r="F22" s="240">
        <f t="shared" si="0"/>
        <v>8.343321380714408E-2</v>
      </c>
      <c r="G22" s="258">
        <v>13363.537910005711</v>
      </c>
      <c r="H22" s="310">
        <v>14794.394279702978</v>
      </c>
      <c r="I22" s="240">
        <f t="shared" si="1"/>
        <v>0.10707167363411596</v>
      </c>
      <c r="J22" s="26"/>
      <c r="K22" s="47"/>
      <c r="L22" s="47"/>
      <c r="O22" s="48"/>
      <c r="P22" s="88"/>
      <c r="Q22" s="48"/>
      <c r="R22" s="48"/>
      <c r="S22" s="48"/>
    </row>
    <row r="23" spans="3:19" ht="20.100000000000001" customHeight="1">
      <c r="C23" s="123" t="s">
        <v>31</v>
      </c>
      <c r="D23" s="238">
        <v>58.651464733333349</v>
      </c>
      <c r="E23" s="310">
        <v>70.653257667197849</v>
      </c>
      <c r="F23" s="240">
        <f t="shared" si="0"/>
        <v>0.20462904018564987</v>
      </c>
      <c r="G23" s="258">
        <v>588.37235800273436</v>
      </c>
      <c r="H23" s="310">
        <v>537.30199880053112</v>
      </c>
      <c r="I23" s="240">
        <f t="shared" si="1"/>
        <v>-8.6799385640013216E-2</v>
      </c>
      <c r="J23" s="26"/>
      <c r="K23" s="47"/>
      <c r="L23" s="47"/>
      <c r="M23" s="8"/>
      <c r="O23" s="48"/>
      <c r="P23" s="48"/>
      <c r="Q23" s="48"/>
      <c r="R23" s="48"/>
      <c r="S23" s="48"/>
    </row>
    <row r="24" spans="3:19" ht="20.100000000000001" customHeight="1">
      <c r="C24" s="123" t="s">
        <v>32</v>
      </c>
      <c r="D24" s="238">
        <v>9.5611000000000002E-2</v>
      </c>
      <c r="E24" s="347">
        <v>0.14469217084866287</v>
      </c>
      <c r="F24" s="240">
        <f t="shared" si="0"/>
        <v>0.51334230212698184</v>
      </c>
      <c r="G24" s="258">
        <v>1.2889670000000004</v>
      </c>
      <c r="H24" s="310">
        <v>1.1521357583486631</v>
      </c>
      <c r="I24" s="240">
        <f t="shared" si="1"/>
        <v>-0.10615573684302027</v>
      </c>
      <c r="J24" s="26"/>
      <c r="K24" s="47"/>
      <c r="L24" s="47"/>
      <c r="O24" s="48"/>
      <c r="P24" s="88"/>
      <c r="Q24" s="48"/>
      <c r="R24" s="48"/>
      <c r="S24" s="48"/>
    </row>
    <row r="25" spans="3:19" ht="20.100000000000001" customHeight="1">
      <c r="C25" s="123" t="s">
        <v>33</v>
      </c>
      <c r="D25" s="238">
        <v>66.181308333333334</v>
      </c>
      <c r="E25" s="310">
        <v>70.653257667197849</v>
      </c>
      <c r="F25" s="240">
        <f t="shared" si="0"/>
        <v>6.7571183563503778E-2</v>
      </c>
      <c r="G25" s="258">
        <v>449.73360266666663</v>
      </c>
      <c r="H25" s="310">
        <v>440.90010121553109</v>
      </c>
      <c r="I25" s="240">
        <f t="shared" si="1"/>
        <v>-1.96416309538755E-2</v>
      </c>
      <c r="J25" s="26"/>
      <c r="K25" s="47"/>
      <c r="L25" s="47"/>
      <c r="N25" s="8"/>
      <c r="P25" s="12"/>
      <c r="Q25" s="48"/>
      <c r="R25" s="48"/>
      <c r="S25" s="48"/>
    </row>
    <row r="26" spans="3:19" ht="20.100000000000001" customHeight="1">
      <c r="C26" s="123" t="s">
        <v>34</v>
      </c>
      <c r="D26" s="238">
        <v>64.073272000000003</v>
      </c>
      <c r="E26" s="310">
        <v>63.587931900478061</v>
      </c>
      <c r="F26" s="240">
        <f t="shared" si="0"/>
        <v>-7.5747668937827806E-3</v>
      </c>
      <c r="G26" s="258">
        <v>681.47790099999997</v>
      </c>
      <c r="H26" s="310">
        <v>685.12590968023312</v>
      </c>
      <c r="I26" s="240">
        <f t="shared" si="1"/>
        <v>5.3530843404900885E-3</v>
      </c>
      <c r="J26" s="26"/>
      <c r="K26" s="47"/>
      <c r="L26" s="47"/>
      <c r="O26" s="48"/>
      <c r="P26" s="88"/>
      <c r="Q26" s="48"/>
      <c r="R26" s="48"/>
      <c r="S26" s="48"/>
    </row>
    <row r="27" spans="3:19" ht="20.100000000000001" customHeight="1">
      <c r="C27" s="123" t="s">
        <v>35</v>
      </c>
      <c r="D27" s="238">
        <v>126.63332704833867</v>
      </c>
      <c r="E27" s="310">
        <v>124.82075521204953</v>
      </c>
      <c r="F27" s="240">
        <f t="shared" si="0"/>
        <v>-1.4313545087520585E-2</v>
      </c>
      <c r="G27" s="258">
        <v>833.79116363965693</v>
      </c>
      <c r="H27" s="310">
        <v>937.95703832942013</v>
      </c>
      <c r="I27" s="240">
        <f t="shared" si="1"/>
        <v>0.1249304133124407</v>
      </c>
      <c r="J27" s="26"/>
      <c r="K27" s="47"/>
      <c r="L27" s="47"/>
      <c r="M27" s="8"/>
      <c r="N27" s="8"/>
      <c r="O27" s="48"/>
      <c r="P27" s="88"/>
      <c r="Q27" s="48"/>
      <c r="R27" s="48"/>
      <c r="S27" s="48"/>
    </row>
    <row r="28" spans="3:19" ht="20.100000000000001" customHeight="1">
      <c r="C28" s="123" t="s">
        <v>36</v>
      </c>
      <c r="D28" s="238">
        <v>71.398793499999996</v>
      </c>
      <c r="E28" s="310">
        <v>68.29814907829126</v>
      </c>
      <c r="F28" s="240">
        <f t="shared" si="0"/>
        <v>-4.3427126282025164E-2</v>
      </c>
      <c r="G28" s="258">
        <v>577.06912650000004</v>
      </c>
      <c r="H28" s="310">
        <v>661.4721407707915</v>
      </c>
      <c r="I28" s="240">
        <f t="shared" si="1"/>
        <v>0.14626153158237187</v>
      </c>
      <c r="J28" s="26"/>
      <c r="K28" s="47"/>
      <c r="L28" s="47"/>
      <c r="N28" s="8"/>
      <c r="P28" s="12"/>
      <c r="Q28" s="48"/>
      <c r="R28" s="48"/>
      <c r="S28" s="48"/>
    </row>
    <row r="29" spans="3:19" ht="20.100000000000001" customHeight="1">
      <c r="C29" s="123" t="s">
        <v>37</v>
      </c>
      <c r="D29" s="238">
        <v>2.2485280000000003</v>
      </c>
      <c r="E29" s="347">
        <v>0.47102171778131902</v>
      </c>
      <c r="F29" s="240">
        <f t="shared" si="0"/>
        <v>-0.79051996782725453</v>
      </c>
      <c r="G29" s="258">
        <v>33.927553999999994</v>
      </c>
      <c r="H29" s="310">
        <v>34.043969717781316</v>
      </c>
      <c r="I29" s="346">
        <f t="shared" si="1"/>
        <v>3.4313029987755872E-3</v>
      </c>
      <c r="J29" s="26"/>
      <c r="K29" s="47"/>
      <c r="L29" s="47"/>
      <c r="O29" s="48"/>
      <c r="P29" s="88"/>
      <c r="Q29" s="48"/>
      <c r="R29" s="48"/>
      <c r="S29" s="48"/>
    </row>
    <row r="30" spans="3:19" ht="20.100000000000001" customHeight="1">
      <c r="C30" s="123" t="s">
        <v>38</v>
      </c>
      <c r="D30" s="238">
        <v>12.848920999999999</v>
      </c>
      <c r="E30" s="310">
        <v>12.483291556710597</v>
      </c>
      <c r="F30" s="240">
        <f t="shared" si="0"/>
        <v>-2.8456042596059383E-2</v>
      </c>
      <c r="G30" s="258">
        <v>104.77594099999999</v>
      </c>
      <c r="H30" s="310">
        <v>100.20105292921062</v>
      </c>
      <c r="I30" s="240">
        <f t="shared" si="1"/>
        <v>-4.36635359904749E-2</v>
      </c>
      <c r="J30" s="26"/>
      <c r="K30" s="47"/>
      <c r="L30" s="47"/>
      <c r="N30" s="8"/>
      <c r="P30" s="12"/>
      <c r="Q30" s="48"/>
      <c r="R30" s="48"/>
      <c r="S30" s="48"/>
    </row>
    <row r="31" spans="3:19" ht="20.100000000000001" customHeight="1">
      <c r="C31" s="123" t="s">
        <v>39</v>
      </c>
      <c r="D31" s="238">
        <v>1.5405840000000004</v>
      </c>
      <c r="E31" s="310">
        <v>1.600236148854502</v>
      </c>
      <c r="F31" s="240">
        <f>+E31/D31-1</f>
        <v>3.8720477983999357E-2</v>
      </c>
      <c r="G31" s="258">
        <v>11.239949000000003</v>
      </c>
      <c r="H31" s="310">
        <v>9.5309538838545045</v>
      </c>
      <c r="I31" s="240">
        <f t="shared" si="1"/>
        <v>-0.15204651872935526</v>
      </c>
      <c r="J31" s="26"/>
      <c r="K31" s="47"/>
      <c r="L31" s="47"/>
      <c r="P31" s="12"/>
      <c r="Q31" s="48"/>
      <c r="R31" s="48"/>
      <c r="S31" s="48"/>
    </row>
    <row r="32" spans="3:19" ht="20.100000000000001" customHeight="1">
      <c r="C32" s="125" t="s">
        <v>40</v>
      </c>
      <c r="D32" s="228">
        <v>67.598101333333346</v>
      </c>
      <c r="E32" s="311">
        <v>27.319259631316502</v>
      </c>
      <c r="F32" s="241">
        <f t="shared" si="0"/>
        <v>-0.59585758930413801</v>
      </c>
      <c r="G32" s="259">
        <v>256.45572766666669</v>
      </c>
      <c r="H32" s="311">
        <v>173.14711104464985</v>
      </c>
      <c r="I32" s="241">
        <f t="shared" si="1"/>
        <v>-0.32484599731887775</v>
      </c>
      <c r="J32" s="26"/>
      <c r="K32" s="47"/>
      <c r="L32" s="47"/>
      <c r="M32" s="8"/>
      <c r="N32" s="8"/>
      <c r="O32" s="48"/>
      <c r="P32" s="88"/>
      <c r="Q32" s="48"/>
      <c r="R32" s="48"/>
      <c r="S32" s="48"/>
    </row>
    <row r="33" spans="3:19" ht="13.5" thickBot="1">
      <c r="C33" s="115" t="s">
        <v>115</v>
      </c>
      <c r="D33" s="116">
        <f>SUM(D8:D32)</f>
        <v>4515.9726529946065</v>
      </c>
      <c r="E33" s="312">
        <f>SUM(E8:E32)</f>
        <v>4710.2171778131897</v>
      </c>
      <c r="F33" s="121">
        <f>+E33/D33-1</f>
        <v>4.3012777034815874E-2</v>
      </c>
      <c r="G33" s="260">
        <f>SUM(G8:G32)</f>
        <v>36245.139334010302</v>
      </c>
      <c r="H33" s="312">
        <f>SUM(H8:H32)</f>
        <v>37846.222822477925</v>
      </c>
      <c r="I33" s="261">
        <f>+H33/G33-1</f>
        <v>4.4173743511181973E-2</v>
      </c>
      <c r="J33" s="26"/>
      <c r="K33" s="49"/>
      <c r="L33" s="8"/>
      <c r="N33" s="51"/>
      <c r="O33" s="48"/>
      <c r="P33" s="48"/>
      <c r="Q33" s="48"/>
      <c r="R33" s="48"/>
      <c r="S33" s="48"/>
    </row>
    <row r="34" spans="3:19">
      <c r="C34"/>
      <c r="D34"/>
      <c r="E34"/>
      <c r="F34"/>
      <c r="G34"/>
      <c r="J34" s="26"/>
      <c r="K34" s="49"/>
      <c r="L34" s="8"/>
      <c r="N34" s="51"/>
      <c r="O34" s="48"/>
      <c r="P34" s="48"/>
      <c r="Q34" s="48"/>
      <c r="R34" s="48"/>
      <c r="S34" s="48"/>
    </row>
    <row r="35" spans="3:19">
      <c r="C35"/>
      <c r="D35"/>
      <c r="E35"/>
      <c r="F35"/>
      <c r="G35"/>
      <c r="H35" s="26"/>
      <c r="I35" s="26"/>
      <c r="J35" s="26"/>
      <c r="K35" s="49"/>
      <c r="L35" s="8"/>
      <c r="O35" s="48"/>
      <c r="P35" s="48"/>
      <c r="Q35" s="48"/>
      <c r="R35" s="48"/>
      <c r="S35" s="48"/>
    </row>
    <row r="36" spans="3:19">
      <c r="C36" s="27" t="s">
        <v>131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1"/>
      <c r="O36" s="48"/>
      <c r="P36" s="48"/>
      <c r="Q36" s="48"/>
      <c r="R36" s="48"/>
      <c r="S36" s="48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8"/>
      <c r="P37" s="48"/>
      <c r="Q37" s="48"/>
      <c r="R37" s="48"/>
      <c r="S37" s="48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8"/>
      <c r="P38" s="48"/>
      <c r="Q38" s="48"/>
      <c r="R38" s="48"/>
      <c r="S38" s="48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8"/>
      <c r="P39" s="48"/>
      <c r="Q39" s="48"/>
      <c r="R39" s="48"/>
      <c r="S39" s="48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2" t="s">
        <v>43</v>
      </c>
      <c r="O43" s="52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3" t="s">
        <v>30</v>
      </c>
      <c r="O44" s="54">
        <v>2150.5744545556217</v>
      </c>
      <c r="P44" s="8"/>
      <c r="S44" s="93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2" t="s">
        <v>24</v>
      </c>
      <c r="O45" s="55">
        <v>852.54930918418734</v>
      </c>
      <c r="P45" s="8"/>
      <c r="S45" s="93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2" t="s">
        <v>60</v>
      </c>
      <c r="O46" s="55">
        <v>315.58455091348378</v>
      </c>
      <c r="P46" s="8"/>
      <c r="S46" s="93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3" t="s">
        <v>27</v>
      </c>
      <c r="O47" s="54">
        <v>193.11890429034082</v>
      </c>
      <c r="P47" s="8"/>
      <c r="S47" s="93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2" t="s">
        <v>23</v>
      </c>
      <c r="O48" s="55">
        <v>155.43716686783526</v>
      </c>
      <c r="P48" s="8"/>
      <c r="S48" s="93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2" t="s">
        <v>26</v>
      </c>
      <c r="O49" s="55">
        <v>148.37184110111548</v>
      </c>
      <c r="P49" s="8"/>
      <c r="S49" s="93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3" t="s">
        <v>35</v>
      </c>
      <c r="O50" s="54">
        <v>124.82075521204953</v>
      </c>
      <c r="P50" s="8"/>
      <c r="S50" s="93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2" t="s">
        <v>25</v>
      </c>
      <c r="O51" s="55">
        <v>117.75542944532977</v>
      </c>
      <c r="P51" s="8"/>
      <c r="S51" s="93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2" t="s">
        <v>18</v>
      </c>
      <c r="O52" s="55">
        <v>103.62477791189018</v>
      </c>
      <c r="P52" s="8"/>
      <c r="S52" s="93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2" t="s">
        <v>20</v>
      </c>
      <c r="O53" s="55">
        <v>89.494126378450616</v>
      </c>
      <c r="P53" s="8"/>
      <c r="S53" s="93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2" t="s">
        <v>22</v>
      </c>
      <c r="O54" s="55">
        <v>70.653257667197849</v>
      </c>
      <c r="P54" s="8"/>
      <c r="S54" s="93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3" t="s">
        <v>31</v>
      </c>
      <c r="O55" s="54">
        <v>70.653257667197849</v>
      </c>
      <c r="P55" s="8"/>
      <c r="S55" s="93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2" t="s">
        <v>33</v>
      </c>
      <c r="O56" s="55">
        <v>70.653257667197849</v>
      </c>
      <c r="P56" s="8"/>
      <c r="S56" s="93"/>
    </row>
    <row r="57" spans="3:19">
      <c r="N57" s="53" t="s">
        <v>36</v>
      </c>
      <c r="O57" s="54">
        <v>68.29814907829126</v>
      </c>
      <c r="S57" s="93"/>
    </row>
    <row r="58" spans="3:19">
      <c r="N58" s="53" t="s">
        <v>34</v>
      </c>
      <c r="O58" s="54">
        <v>63.587931900478061</v>
      </c>
      <c r="S58" s="93"/>
    </row>
    <row r="59" spans="3:19">
      <c r="N59" s="53" t="s">
        <v>28</v>
      </c>
      <c r="O59" s="54">
        <v>59.348736440446189</v>
      </c>
      <c r="S59" s="93"/>
    </row>
    <row r="60" spans="3:19">
      <c r="N60" s="53" t="s">
        <v>40</v>
      </c>
      <c r="O60" s="54">
        <v>27.319259631316502</v>
      </c>
      <c r="S60" s="93"/>
    </row>
    <row r="61" spans="3:19">
      <c r="N61" s="53" t="s">
        <v>38</v>
      </c>
      <c r="O61" s="54">
        <v>12.483291556710597</v>
      </c>
      <c r="S61" s="93"/>
    </row>
    <row r="62" spans="3:19">
      <c r="N62" s="53" t="s">
        <v>29</v>
      </c>
      <c r="O62" s="54">
        <v>4.9457280367038496</v>
      </c>
      <c r="S62" s="93"/>
    </row>
    <row r="63" spans="3:19">
      <c r="N63" s="52" t="s">
        <v>17</v>
      </c>
      <c r="O63" s="55">
        <v>4.7102171778131909</v>
      </c>
      <c r="S63" s="93"/>
    </row>
    <row r="64" spans="3:19">
      <c r="N64" s="52" t="s">
        <v>19</v>
      </c>
      <c r="O64" s="55">
        <v>3.2971520244692329</v>
      </c>
      <c r="S64" s="93"/>
    </row>
    <row r="65" spans="6:19">
      <c r="N65" s="52" t="s">
        <v>39</v>
      </c>
      <c r="O65" s="55">
        <v>1.600236148854502</v>
      </c>
      <c r="S65" s="93"/>
    </row>
    <row r="66" spans="6:19">
      <c r="N66" s="52" t="s">
        <v>21</v>
      </c>
      <c r="O66" s="55">
        <v>0.71967306757829286</v>
      </c>
      <c r="S66" s="93"/>
    </row>
    <row r="67" spans="6:19">
      <c r="N67" s="53" t="s">
        <v>37</v>
      </c>
      <c r="O67" s="54">
        <v>0.47102171778131902</v>
      </c>
      <c r="S67" s="93"/>
    </row>
    <row r="68" spans="6:19">
      <c r="N68" s="9" t="s">
        <v>32</v>
      </c>
      <c r="O68" s="54">
        <v>0.14469217084866287</v>
      </c>
      <c r="S68" s="126"/>
    </row>
    <row r="70" spans="6:19">
      <c r="F70" s="83"/>
    </row>
    <row r="71" spans="6:19">
      <c r="F71" s="83"/>
    </row>
    <row r="72" spans="6:19">
      <c r="F72" s="83"/>
    </row>
    <row r="73" spans="6:19">
      <c r="F73" s="83"/>
    </row>
    <row r="74" spans="6:19">
      <c r="F74" s="83"/>
    </row>
    <row r="75" spans="6:19">
      <c r="F75" s="83"/>
    </row>
    <row r="76" spans="6:19">
      <c r="F76" s="83"/>
    </row>
    <row r="77" spans="6:19">
      <c r="F77" s="83"/>
    </row>
    <row r="78" spans="6:19">
      <c r="F78" s="83"/>
    </row>
    <row r="79" spans="6:19">
      <c r="F79" s="83"/>
    </row>
    <row r="80" spans="6:19">
      <c r="F80" s="83"/>
    </row>
    <row r="81" spans="6:6">
      <c r="F81" s="83"/>
    </row>
    <row r="82" spans="6:6">
      <c r="F82" s="83"/>
    </row>
    <row r="83" spans="6:6">
      <c r="F83" s="83"/>
    </row>
    <row r="84" spans="6:6">
      <c r="F84" s="83"/>
    </row>
    <row r="85" spans="6:6">
      <c r="F85" s="83"/>
    </row>
    <row r="86" spans="6:6">
      <c r="F86" s="83"/>
    </row>
    <row r="87" spans="6:6">
      <c r="F87" s="83"/>
    </row>
    <row r="88" spans="6:6">
      <c r="F88" s="83"/>
    </row>
    <row r="89" spans="6:6">
      <c r="F89" s="83"/>
    </row>
    <row r="90" spans="6:6">
      <c r="F90" s="83"/>
    </row>
    <row r="91" spans="6:6">
      <c r="F91" s="83"/>
    </row>
    <row r="92" spans="6:6">
      <c r="F92" s="83"/>
    </row>
    <row r="93" spans="6:6">
      <c r="F93" s="83"/>
    </row>
  </sheetData>
  <sortState ref="Q44:R68">
    <sortCondition descending="1" ref="R44"/>
  </sortState>
  <mergeCells count="4">
    <mergeCell ref="D6:E6"/>
    <mergeCell ref="F6:F7"/>
    <mergeCell ref="G6:H6"/>
    <mergeCell ref="I6:I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2019-09-09T13:49:36Z</dcterms:modified>
</cp:coreProperties>
</file>